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 firstSheet="2" activeTab="7"/>
  </bookViews>
  <sheets>
    <sheet name="Bodování" sheetId="1" r:id="rId1"/>
    <sheet name="Soupiska" sheetId="7" r:id="rId2"/>
    <sheet name="Treninky" sheetId="6" r:id="rId3"/>
    <sheet name="Turnaje" sheetId="3" r:id="rId4"/>
    <sheet name="Mistráky" sheetId="14" r:id="rId5"/>
    <sheet name="Český pohár" sheetId="10" r:id="rId6"/>
    <sheet name="Anketa" sheetId="11" r:id="rId7"/>
    <sheet name="Konečné pořadí" sheetId="5" r:id="rId8"/>
    <sheet name="Limity" sheetId="13" r:id="rId9"/>
    <sheet name="Mistráky staré" sheetId="4" r:id="rId10"/>
  </sheets>
  <definedNames>
    <definedName name="_xlnm._FilterDatabase" localSheetId="4" hidden="1">Mistráky!$A$50:$AH$67</definedName>
  </definedNames>
  <calcPr calcId="125725"/>
</workbook>
</file>

<file path=xl/calcChain.xml><?xml version="1.0" encoding="utf-8"?>
<calcChain xmlns="http://schemas.openxmlformats.org/spreadsheetml/2006/main">
  <c r="R26" i="11"/>
  <c r="P26"/>
  <c r="N26"/>
  <c r="L26"/>
  <c r="J26"/>
  <c r="H26"/>
  <c r="F26"/>
  <c r="D26"/>
  <c r="AP4" i="6" l="1"/>
  <c r="AP5"/>
  <c r="AP6"/>
  <c r="AP7"/>
  <c r="AP13"/>
  <c r="AP16"/>
  <c r="AP17"/>
  <c r="AP18"/>
  <c r="AP20"/>
  <c r="AP21"/>
  <c r="AP22"/>
  <c r="AP23"/>
  <c r="AP24"/>
  <c r="AP25"/>
  <c r="AP26"/>
  <c r="AP27"/>
  <c r="AP3"/>
  <c r="AO3"/>
  <c r="AO4"/>
  <c r="AO5"/>
  <c r="AO6"/>
  <c r="AO7"/>
  <c r="AO13"/>
  <c r="AO16"/>
  <c r="AO17"/>
  <c r="AO18"/>
  <c r="AO20"/>
  <c r="AO21"/>
  <c r="AO22"/>
  <c r="AO23"/>
  <c r="AO24"/>
  <c r="AO25"/>
  <c r="AO26"/>
  <c r="AO27"/>
  <c r="N3" i="3"/>
  <c r="E27" i="5" s="1"/>
  <c r="R21" i="11"/>
  <c r="R23"/>
  <c r="R27"/>
  <c r="R3"/>
  <c r="R4"/>
  <c r="R6"/>
  <c r="R7"/>
  <c r="R10"/>
  <c r="R11"/>
  <c r="R12"/>
  <c r="R13"/>
  <c r="R15"/>
  <c r="R16"/>
  <c r="AF65" i="14"/>
  <c r="AE65"/>
  <c r="C27" i="5"/>
  <c r="H27"/>
  <c r="C4"/>
  <c r="P14" i="11"/>
  <c r="N14"/>
  <c r="L14"/>
  <c r="J14"/>
  <c r="H14"/>
  <c r="F14"/>
  <c r="D14"/>
  <c r="B14"/>
  <c r="O15" i="10"/>
  <c r="N15"/>
  <c r="B15"/>
  <c r="AF79" i="14"/>
  <c r="AE79"/>
  <c r="B79"/>
  <c r="AF58"/>
  <c r="AE58"/>
  <c r="B58"/>
  <c r="AF40"/>
  <c r="AE40"/>
  <c r="B40"/>
  <c r="B15"/>
  <c r="N15" i="3"/>
  <c r="E4" i="5" s="1"/>
  <c r="B15" i="3"/>
  <c r="AM15" i="6"/>
  <c r="AL15"/>
  <c r="AP15" s="1"/>
  <c r="B15"/>
  <c r="L15" i="1"/>
  <c r="L14"/>
  <c r="L12"/>
  <c r="L13"/>
  <c r="G12"/>
  <c r="L16"/>
  <c r="G16"/>
  <c r="G15"/>
  <c r="G14"/>
  <c r="G13"/>
  <c r="AF107" i="14"/>
  <c r="AE107"/>
  <c r="B107"/>
  <c r="AF106"/>
  <c r="AE106"/>
  <c r="B106"/>
  <c r="AF105"/>
  <c r="AE105"/>
  <c r="B105"/>
  <c r="AF104"/>
  <c r="AE104"/>
  <c r="B104"/>
  <c r="AF103"/>
  <c r="AE103"/>
  <c r="B103"/>
  <c r="AF102"/>
  <c r="AE102"/>
  <c r="B102"/>
  <c r="AF101"/>
  <c r="AE101"/>
  <c r="B101"/>
  <c r="AF100"/>
  <c r="AE100"/>
  <c r="B100"/>
  <c r="AF99"/>
  <c r="AE99"/>
  <c r="B99"/>
  <c r="AF98"/>
  <c r="AE98"/>
  <c r="B98"/>
  <c r="AF97"/>
  <c r="AE97"/>
  <c r="B97"/>
  <c r="AF96"/>
  <c r="AE96"/>
  <c r="B96"/>
  <c r="AF95"/>
  <c r="AE95"/>
  <c r="B95"/>
  <c r="AF87"/>
  <c r="AE87"/>
  <c r="B87"/>
  <c r="AF86"/>
  <c r="AE86"/>
  <c r="B86"/>
  <c r="AF85"/>
  <c r="AE85"/>
  <c r="B85"/>
  <c r="AF84"/>
  <c r="AE84"/>
  <c r="B84"/>
  <c r="AF83"/>
  <c r="AE83"/>
  <c r="B83"/>
  <c r="AF82"/>
  <c r="AE82"/>
  <c r="B82"/>
  <c r="AF81"/>
  <c r="AE81"/>
  <c r="B81"/>
  <c r="AF80"/>
  <c r="AE80"/>
  <c r="B80"/>
  <c r="AF78"/>
  <c r="AE78"/>
  <c r="B78"/>
  <c r="AF77"/>
  <c r="AE77"/>
  <c r="B77"/>
  <c r="AF76"/>
  <c r="AE76"/>
  <c r="B76"/>
  <c r="AF75"/>
  <c r="AE75"/>
  <c r="B75"/>
  <c r="AF67"/>
  <c r="AE67"/>
  <c r="B67"/>
  <c r="AF66"/>
  <c r="AE66"/>
  <c r="B66"/>
  <c r="AF64"/>
  <c r="AE64"/>
  <c r="B64"/>
  <c r="AF63"/>
  <c r="AE63"/>
  <c r="B63"/>
  <c r="AF62"/>
  <c r="AE62"/>
  <c r="B62"/>
  <c r="AF61"/>
  <c r="AE61"/>
  <c r="B61"/>
  <c r="AF60"/>
  <c r="AE60"/>
  <c r="B60"/>
  <c r="AF59"/>
  <c r="AE59"/>
  <c r="B59"/>
  <c r="AF57"/>
  <c r="AE57"/>
  <c r="B57"/>
  <c r="AF56"/>
  <c r="AE56"/>
  <c r="B56"/>
  <c r="AF55"/>
  <c r="AE55"/>
  <c r="B55"/>
  <c r="AF54"/>
  <c r="AE54"/>
  <c r="B54"/>
  <c r="AF53"/>
  <c r="AE53"/>
  <c r="B53"/>
  <c r="AF52"/>
  <c r="AE52"/>
  <c r="B52"/>
  <c r="AF51"/>
  <c r="AE51"/>
  <c r="B51"/>
  <c r="AF43"/>
  <c r="AE43"/>
  <c r="B43"/>
  <c r="AF42"/>
  <c r="AE42"/>
  <c r="B42"/>
  <c r="AF41"/>
  <c r="AE41"/>
  <c r="B41"/>
  <c r="AF39"/>
  <c r="AE39"/>
  <c r="B39"/>
  <c r="AF38"/>
  <c r="AE38"/>
  <c r="B38"/>
  <c r="AF37"/>
  <c r="AE37"/>
  <c r="B37"/>
  <c r="AF36"/>
  <c r="AE36"/>
  <c r="B36"/>
  <c r="AF35"/>
  <c r="AE35"/>
  <c r="B35"/>
  <c r="AF34"/>
  <c r="AE34"/>
  <c r="B34"/>
  <c r="AF33"/>
  <c r="AE33"/>
  <c r="B33"/>
  <c r="AF32"/>
  <c r="AE32"/>
  <c r="B32"/>
  <c r="B28"/>
  <c r="B27"/>
  <c r="B25"/>
  <c r="B24"/>
  <c r="B23"/>
  <c r="B22"/>
  <c r="B21"/>
  <c r="B20"/>
  <c r="B19"/>
  <c r="B18"/>
  <c r="B17"/>
  <c r="B16"/>
  <c r="B14"/>
  <c r="B13"/>
  <c r="B12"/>
  <c r="B11"/>
  <c r="B10"/>
  <c r="B9"/>
  <c r="B8"/>
  <c r="B7"/>
  <c r="B6"/>
  <c r="B5"/>
  <c r="B4"/>
  <c r="B3"/>
  <c r="AF134" i="4"/>
  <c r="AE134"/>
  <c r="AF133"/>
  <c r="AE133"/>
  <c r="AF132"/>
  <c r="AE132"/>
  <c r="B132"/>
  <c r="AF131"/>
  <c r="AE131"/>
  <c r="AF130"/>
  <c r="AE130"/>
  <c r="AF129"/>
  <c r="AE129"/>
  <c r="B129"/>
  <c r="AF128"/>
  <c r="AG128" s="1"/>
  <c r="AE128"/>
  <c r="AF127"/>
  <c r="AE127"/>
  <c r="AF126"/>
  <c r="AE126"/>
  <c r="B126"/>
  <c r="AF125"/>
  <c r="AE125"/>
  <c r="AF124"/>
  <c r="AE124"/>
  <c r="AG124" s="1"/>
  <c r="AF123"/>
  <c r="AE123"/>
  <c r="AG123" s="1"/>
  <c r="B123"/>
  <c r="AF122"/>
  <c r="AG122" s="1"/>
  <c r="AE122"/>
  <c r="AF121"/>
  <c r="AE121"/>
  <c r="AF120"/>
  <c r="AE120"/>
  <c r="B120"/>
  <c r="AF119"/>
  <c r="AE119"/>
  <c r="AF118"/>
  <c r="AE118"/>
  <c r="AG118" s="1"/>
  <c r="AF117"/>
  <c r="AE117"/>
  <c r="AG117" s="1"/>
  <c r="B117"/>
  <c r="AF116"/>
  <c r="AG116" s="1"/>
  <c r="AE116"/>
  <c r="AF115"/>
  <c r="AG115" s="1"/>
  <c r="AE115"/>
  <c r="AF114"/>
  <c r="AG114" s="1"/>
  <c r="AE114"/>
  <c r="B114"/>
  <c r="AF113"/>
  <c r="AE113"/>
  <c r="AF112"/>
  <c r="AE112"/>
  <c r="AG112" s="1"/>
  <c r="AF111"/>
  <c r="AE111"/>
  <c r="AG111" s="1"/>
  <c r="B111"/>
  <c r="AF110"/>
  <c r="AG110" s="1"/>
  <c r="AE110"/>
  <c r="AF109"/>
  <c r="AE109"/>
  <c r="AF108"/>
  <c r="AE108"/>
  <c r="B108"/>
  <c r="AF107"/>
  <c r="AE107"/>
  <c r="AF106"/>
  <c r="AE106"/>
  <c r="AG106" s="1"/>
  <c r="AF105"/>
  <c r="AE105"/>
  <c r="AG105" s="1"/>
  <c r="B105"/>
  <c r="AF104"/>
  <c r="AG104" s="1"/>
  <c r="AE104"/>
  <c r="AF103"/>
  <c r="AE103"/>
  <c r="AF102"/>
  <c r="AE102"/>
  <c r="B102"/>
  <c r="AF101"/>
  <c r="AE101"/>
  <c r="AF100"/>
  <c r="AE100"/>
  <c r="AG100" s="1"/>
  <c r="AF99"/>
  <c r="AE99"/>
  <c r="AG99" s="1"/>
  <c r="B99"/>
  <c r="AF98"/>
  <c r="AG98" s="1"/>
  <c r="AE98"/>
  <c r="AF97"/>
  <c r="AE97"/>
  <c r="AF96"/>
  <c r="AE96"/>
  <c r="B96"/>
  <c r="AF95"/>
  <c r="AE95"/>
  <c r="AF94"/>
  <c r="AE94"/>
  <c r="AG94" s="1"/>
  <c r="AF93"/>
  <c r="AE93"/>
  <c r="AG93" s="1"/>
  <c r="B93"/>
  <c r="AF92"/>
  <c r="AE92"/>
  <c r="AF91"/>
  <c r="AG91" s="1"/>
  <c r="AE91"/>
  <c r="AF90"/>
  <c r="AG90" s="1"/>
  <c r="AE90"/>
  <c r="B90"/>
  <c r="AF89"/>
  <c r="AE89"/>
  <c r="AF88"/>
  <c r="AE88"/>
  <c r="AG88" s="1"/>
  <c r="AF87"/>
  <c r="AE87"/>
  <c r="AG87" s="1"/>
  <c r="B87"/>
  <c r="AF86"/>
  <c r="AG86" s="1"/>
  <c r="AE86"/>
  <c r="AF85"/>
  <c r="AE85"/>
  <c r="AF84"/>
  <c r="AE84"/>
  <c r="B84"/>
  <c r="AF83"/>
  <c r="AE83"/>
  <c r="AF82"/>
  <c r="AE82"/>
  <c r="AG82" s="1"/>
  <c r="AF81"/>
  <c r="AE81"/>
  <c r="AG81" s="1"/>
  <c r="B81"/>
  <c r="AF80"/>
  <c r="AG80" s="1"/>
  <c r="AE80"/>
  <c r="AF79"/>
  <c r="AG79" s="1"/>
  <c r="AE79"/>
  <c r="AF78"/>
  <c r="AG78" s="1"/>
  <c r="AE78"/>
  <c r="B78"/>
  <c r="AF77"/>
  <c r="AE77"/>
  <c r="AF76"/>
  <c r="AE76"/>
  <c r="AG76" s="1"/>
  <c r="AF75"/>
  <c r="AE75"/>
  <c r="AG75" s="1"/>
  <c r="B75"/>
  <c r="AF74"/>
  <c r="AE74"/>
  <c r="AF73"/>
  <c r="AG73" s="1"/>
  <c r="AE73"/>
  <c r="AF72"/>
  <c r="AG72" s="1"/>
  <c r="AE72"/>
  <c r="B72"/>
  <c r="AF71"/>
  <c r="AE71"/>
  <c r="AG71" s="1"/>
  <c r="AF70"/>
  <c r="AE70"/>
  <c r="AF69"/>
  <c r="AE69"/>
  <c r="B69"/>
  <c r="AG67"/>
  <c r="AF67"/>
  <c r="AE67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N4" i="3"/>
  <c r="N5"/>
  <c r="N6"/>
  <c r="N7"/>
  <c r="N8"/>
  <c r="N9"/>
  <c r="N10"/>
  <c r="N11"/>
  <c r="N12"/>
  <c r="N13"/>
  <c r="N14"/>
  <c r="N16"/>
  <c r="N17"/>
  <c r="N18"/>
  <c r="N19"/>
  <c r="E18" i="5" s="1"/>
  <c r="N20" i="3"/>
  <c r="E9" i="5" s="1"/>
  <c r="N21" i="3"/>
  <c r="N22"/>
  <c r="N23"/>
  <c r="N24"/>
  <c r="N25"/>
  <c r="E20" i="5" s="1"/>
  <c r="N26" i="3"/>
  <c r="N27"/>
  <c r="P3" i="11"/>
  <c r="P4"/>
  <c r="P5"/>
  <c r="P6"/>
  <c r="P7"/>
  <c r="P8"/>
  <c r="P9"/>
  <c r="P10"/>
  <c r="P11"/>
  <c r="P12"/>
  <c r="P13"/>
  <c r="P15"/>
  <c r="P16"/>
  <c r="P17"/>
  <c r="R17" s="1"/>
  <c r="P18"/>
  <c r="P19"/>
  <c r="R19" s="1"/>
  <c r="P20"/>
  <c r="P21"/>
  <c r="P22"/>
  <c r="P23"/>
  <c r="P24"/>
  <c r="P25"/>
  <c r="P27"/>
  <c r="P28"/>
  <c r="N3"/>
  <c r="N4"/>
  <c r="N5"/>
  <c r="N6"/>
  <c r="N7"/>
  <c r="N8"/>
  <c r="N9"/>
  <c r="N10"/>
  <c r="N11"/>
  <c r="N12"/>
  <c r="N13"/>
  <c r="N15"/>
  <c r="N16"/>
  <c r="N17"/>
  <c r="N18"/>
  <c r="N19"/>
  <c r="N20"/>
  <c r="N21"/>
  <c r="N22"/>
  <c r="N23"/>
  <c r="N24"/>
  <c r="N25"/>
  <c r="N27"/>
  <c r="N28"/>
  <c r="L3"/>
  <c r="L4"/>
  <c r="L5"/>
  <c r="L6"/>
  <c r="L7"/>
  <c r="L8"/>
  <c r="L9"/>
  <c r="L10"/>
  <c r="L11"/>
  <c r="L12"/>
  <c r="L13"/>
  <c r="L15"/>
  <c r="L16"/>
  <c r="L17"/>
  <c r="L18"/>
  <c r="R18" s="1"/>
  <c r="L19"/>
  <c r="L20"/>
  <c r="L21"/>
  <c r="L22"/>
  <c r="L23"/>
  <c r="L24"/>
  <c r="L25"/>
  <c r="L27"/>
  <c r="L28"/>
  <c r="J3"/>
  <c r="J4"/>
  <c r="J5"/>
  <c r="J6"/>
  <c r="J7"/>
  <c r="J8"/>
  <c r="J9"/>
  <c r="R9" s="1"/>
  <c r="J10"/>
  <c r="J11"/>
  <c r="J12"/>
  <c r="J13"/>
  <c r="J15"/>
  <c r="J16"/>
  <c r="J17"/>
  <c r="J18"/>
  <c r="J19"/>
  <c r="J20"/>
  <c r="J21"/>
  <c r="J22"/>
  <c r="J23"/>
  <c r="J24"/>
  <c r="J25"/>
  <c r="J27"/>
  <c r="J28"/>
  <c r="H3"/>
  <c r="H4"/>
  <c r="H5"/>
  <c r="H6"/>
  <c r="H7"/>
  <c r="H8"/>
  <c r="H9"/>
  <c r="H10"/>
  <c r="H11"/>
  <c r="H12"/>
  <c r="H13"/>
  <c r="H15"/>
  <c r="H16"/>
  <c r="H17"/>
  <c r="H18"/>
  <c r="H19"/>
  <c r="H20"/>
  <c r="H21"/>
  <c r="H22"/>
  <c r="H23"/>
  <c r="H24"/>
  <c r="H25"/>
  <c r="H27"/>
  <c r="H28"/>
  <c r="F3"/>
  <c r="F4"/>
  <c r="F5"/>
  <c r="F6"/>
  <c r="F7"/>
  <c r="F8"/>
  <c r="F9"/>
  <c r="F10"/>
  <c r="F11"/>
  <c r="F12"/>
  <c r="F13"/>
  <c r="F15"/>
  <c r="F16"/>
  <c r="F17"/>
  <c r="F18"/>
  <c r="F19"/>
  <c r="F20"/>
  <c r="F21"/>
  <c r="F22"/>
  <c r="F23"/>
  <c r="F24"/>
  <c r="F25"/>
  <c r="F27"/>
  <c r="F28"/>
  <c r="D3"/>
  <c r="D4"/>
  <c r="D5"/>
  <c r="D6"/>
  <c r="D7"/>
  <c r="D8"/>
  <c r="D9"/>
  <c r="D10"/>
  <c r="D11"/>
  <c r="D12"/>
  <c r="D13"/>
  <c r="D15"/>
  <c r="D16"/>
  <c r="D17"/>
  <c r="D18"/>
  <c r="D19"/>
  <c r="D20"/>
  <c r="D21"/>
  <c r="D22"/>
  <c r="D23"/>
  <c r="D24"/>
  <c r="D25"/>
  <c r="D27"/>
  <c r="D28"/>
  <c r="R8" l="1"/>
  <c r="R28"/>
  <c r="R24"/>
  <c r="R14"/>
  <c r="AO15" i="6"/>
  <c r="R22" i="11"/>
  <c r="R25"/>
  <c r="R5"/>
  <c r="P15" i="10"/>
  <c r="R20" i="11"/>
  <c r="AG65" i="14"/>
  <c r="AH65"/>
  <c r="AE26" s="1"/>
  <c r="F20" i="5" s="1"/>
  <c r="Q15" i="10"/>
  <c r="G4" i="5" s="1"/>
  <c r="AH103" i="14"/>
  <c r="AG103"/>
  <c r="AH105"/>
  <c r="AH107"/>
  <c r="AG105"/>
  <c r="AH96"/>
  <c r="AH98"/>
  <c r="AE14" s="1"/>
  <c r="AG98"/>
  <c r="AH100"/>
  <c r="AG100"/>
  <c r="AH102"/>
  <c r="AG102"/>
  <c r="AH67"/>
  <c r="AG76"/>
  <c r="AH80"/>
  <c r="AH82"/>
  <c r="AH83"/>
  <c r="AH85"/>
  <c r="AH87"/>
  <c r="AG58"/>
  <c r="AG107"/>
  <c r="AG40"/>
  <c r="AG79"/>
  <c r="AH51"/>
  <c r="AH79"/>
  <c r="AH58"/>
  <c r="AH40"/>
  <c r="AG51"/>
  <c r="AH52"/>
  <c r="AH53"/>
  <c r="AG60"/>
  <c r="AG63"/>
  <c r="AH75"/>
  <c r="AH81"/>
  <c r="AG81"/>
  <c r="AH84"/>
  <c r="AG84"/>
  <c r="AH86"/>
  <c r="AG86"/>
  <c r="AH95"/>
  <c r="AG95"/>
  <c r="AH97"/>
  <c r="AG97"/>
  <c r="AH99"/>
  <c r="AH101"/>
  <c r="AH104"/>
  <c r="AH106"/>
  <c r="D4" i="5"/>
  <c r="AN15" i="6"/>
  <c r="AH60" i="14"/>
  <c r="AH63"/>
  <c r="AH64"/>
  <c r="AH66"/>
  <c r="AH77"/>
  <c r="AH54"/>
  <c r="AH56"/>
  <c r="AH59"/>
  <c r="AH61"/>
  <c r="AH62"/>
  <c r="AH76"/>
  <c r="AH78"/>
  <c r="AG66"/>
  <c r="AG55"/>
  <c r="AG57"/>
  <c r="AH57"/>
  <c r="AG78"/>
  <c r="AH55"/>
  <c r="AG64"/>
  <c r="AG96"/>
  <c r="AG99"/>
  <c r="AG101"/>
  <c r="AG104"/>
  <c r="AG106"/>
  <c r="AG75"/>
  <c r="AG77"/>
  <c r="AG80"/>
  <c r="AG82"/>
  <c r="AG83"/>
  <c r="AG85"/>
  <c r="AG87"/>
  <c r="AG52"/>
  <c r="AG53"/>
  <c r="AG54"/>
  <c r="AG56"/>
  <c r="AG59"/>
  <c r="AG61"/>
  <c r="AG62"/>
  <c r="AG67"/>
  <c r="AG33"/>
  <c r="AG35"/>
  <c r="AG37"/>
  <c r="AG43"/>
  <c r="AH32"/>
  <c r="AH34"/>
  <c r="AH36"/>
  <c r="AH38"/>
  <c r="AH39"/>
  <c r="AH41"/>
  <c r="AH42"/>
  <c r="AG32"/>
  <c r="AH33"/>
  <c r="AG34"/>
  <c r="AH35"/>
  <c r="AG36"/>
  <c r="AH37"/>
  <c r="AG38"/>
  <c r="AG39"/>
  <c r="AG41"/>
  <c r="AG42"/>
  <c r="AH43"/>
  <c r="AG132" i="4"/>
  <c r="AG133"/>
  <c r="AG134"/>
  <c r="AG69"/>
  <c r="AG70"/>
  <c r="AG74"/>
  <c r="AG77"/>
  <c r="AG83"/>
  <c r="AG84"/>
  <c r="AG85"/>
  <c r="AG89"/>
  <c r="AG92"/>
  <c r="AG95"/>
  <c r="AG96"/>
  <c r="AG97"/>
  <c r="AG101"/>
  <c r="AG103"/>
  <c r="AG107"/>
  <c r="AG108"/>
  <c r="AG109"/>
  <c r="AG113"/>
  <c r="AG119"/>
  <c r="AG120"/>
  <c r="AG121"/>
  <c r="AG125"/>
  <c r="AG126"/>
  <c r="AG127"/>
  <c r="AG129"/>
  <c r="AG130"/>
  <c r="AG131"/>
  <c r="AH132"/>
  <c r="AH129"/>
  <c r="AH126"/>
  <c r="AH123"/>
  <c r="AH120"/>
  <c r="AH114"/>
  <c r="AH117"/>
  <c r="AH111"/>
  <c r="AH108"/>
  <c r="AH102"/>
  <c r="AH105"/>
  <c r="AG102"/>
  <c r="AH99"/>
  <c r="AH96"/>
  <c r="AH93"/>
  <c r="AH90"/>
  <c r="AH87"/>
  <c r="AH84"/>
  <c r="AH78"/>
  <c r="AH81"/>
  <c r="AH75"/>
  <c r="AH72"/>
  <c r="AH69"/>
  <c r="H20" i="5"/>
  <c r="E8"/>
  <c r="E7"/>
  <c r="E16"/>
  <c r="E3"/>
  <c r="E17"/>
  <c r="E11"/>
  <c r="E26"/>
  <c r="E14"/>
  <c r="E12"/>
  <c r="E15"/>
  <c r="E21"/>
  <c r="E23"/>
  <c r="E13"/>
  <c r="E19"/>
  <c r="E24"/>
  <c r="E25"/>
  <c r="E22"/>
  <c r="O7" i="1"/>
  <c r="M7"/>
  <c r="L7"/>
  <c r="J7"/>
  <c r="I7"/>
  <c r="G7"/>
  <c r="AM4" i="6"/>
  <c r="AL4"/>
  <c r="I10" i="1"/>
  <c r="L10"/>
  <c r="O10"/>
  <c r="B9" i="3"/>
  <c r="B28" i="11"/>
  <c r="B27"/>
  <c r="B25"/>
  <c r="B24"/>
  <c r="B23"/>
  <c r="B22"/>
  <c r="B21"/>
  <c r="B20"/>
  <c r="B19"/>
  <c r="B18"/>
  <c r="B17"/>
  <c r="B16"/>
  <c r="B15"/>
  <c r="B13"/>
  <c r="B12"/>
  <c r="B11"/>
  <c r="B10"/>
  <c r="B8"/>
  <c r="B7"/>
  <c r="B6"/>
  <c r="B5"/>
  <c r="B4"/>
  <c r="B3"/>
  <c r="E10" i="5"/>
  <c r="C12"/>
  <c r="O4" i="10"/>
  <c r="N4"/>
  <c r="B4"/>
  <c r="AF35" i="4"/>
  <c r="AE35"/>
  <c r="B35"/>
  <c r="AH35" s="1"/>
  <c r="B5"/>
  <c r="B4" i="6"/>
  <c r="B4" i="3"/>
  <c r="H28" i="6"/>
  <c r="N17" i="10"/>
  <c r="O17"/>
  <c r="B17"/>
  <c r="AF48" i="4"/>
  <c r="AG48" s="1"/>
  <c r="B48"/>
  <c r="AH48" s="1"/>
  <c r="B18"/>
  <c r="B17" i="3"/>
  <c r="AM17" i="6"/>
  <c r="AL17"/>
  <c r="B17"/>
  <c r="C19" i="5"/>
  <c r="D28" i="6"/>
  <c r="E28"/>
  <c r="F28"/>
  <c r="G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C28"/>
  <c r="AF68" i="4"/>
  <c r="AE68"/>
  <c r="AE66"/>
  <c r="B8" i="3"/>
  <c r="B3" i="6"/>
  <c r="B5"/>
  <c r="B6"/>
  <c r="B7"/>
  <c r="B8"/>
  <c r="B9"/>
  <c r="B10"/>
  <c r="B11"/>
  <c r="B12"/>
  <c r="B13"/>
  <c r="B14"/>
  <c r="B16"/>
  <c r="B18"/>
  <c r="B19"/>
  <c r="B20"/>
  <c r="B21"/>
  <c r="B22"/>
  <c r="B23"/>
  <c r="B24"/>
  <c r="B25"/>
  <c r="B26"/>
  <c r="B27"/>
  <c r="N3" i="10"/>
  <c r="N5"/>
  <c r="N6"/>
  <c r="N7"/>
  <c r="N8"/>
  <c r="N9"/>
  <c r="N10"/>
  <c r="N11"/>
  <c r="N12"/>
  <c r="N13"/>
  <c r="N14"/>
  <c r="N16"/>
  <c r="N18"/>
  <c r="N19"/>
  <c r="N20"/>
  <c r="N21"/>
  <c r="N22"/>
  <c r="N23"/>
  <c r="N24"/>
  <c r="N25"/>
  <c r="N26"/>
  <c r="N27"/>
  <c r="O3"/>
  <c r="P3" s="1"/>
  <c r="O5"/>
  <c r="O6"/>
  <c r="P6" s="1"/>
  <c r="O7"/>
  <c r="O8"/>
  <c r="O9"/>
  <c r="O10"/>
  <c r="P10" s="1"/>
  <c r="O11"/>
  <c r="P11" s="1"/>
  <c r="O12"/>
  <c r="P12" s="1"/>
  <c r="O13"/>
  <c r="P13" s="1"/>
  <c r="O14"/>
  <c r="O16"/>
  <c r="P16" s="1"/>
  <c r="O18"/>
  <c r="O19"/>
  <c r="P19" s="1"/>
  <c r="O20"/>
  <c r="O21"/>
  <c r="P21" s="1"/>
  <c r="O22"/>
  <c r="O23"/>
  <c r="P23" s="1"/>
  <c r="O24"/>
  <c r="O25"/>
  <c r="O26"/>
  <c r="O27"/>
  <c r="P27" s="1"/>
  <c r="C8" i="5"/>
  <c r="C11"/>
  <c r="C16"/>
  <c r="C10"/>
  <c r="C21"/>
  <c r="C13"/>
  <c r="C22"/>
  <c r="C18"/>
  <c r="C5"/>
  <c r="C7"/>
  <c r="C25"/>
  <c r="C3"/>
  <c r="C23"/>
  <c r="C24"/>
  <c r="C15"/>
  <c r="C9"/>
  <c r="C26"/>
  <c r="C14"/>
  <c r="C17"/>
  <c r="C6"/>
  <c r="AF66" i="4"/>
  <c r="B66"/>
  <c r="AF59"/>
  <c r="AE59"/>
  <c r="B59"/>
  <c r="AH59" s="1"/>
  <c r="AF58"/>
  <c r="AE58"/>
  <c r="B58"/>
  <c r="AF57"/>
  <c r="AE57"/>
  <c r="B57"/>
  <c r="AH57" s="1"/>
  <c r="AF56"/>
  <c r="B56"/>
  <c r="AH56" s="1"/>
  <c r="AF55"/>
  <c r="B55"/>
  <c r="AH55" s="1"/>
  <c r="AF54"/>
  <c r="B54"/>
  <c r="AH54" s="1"/>
  <c r="AF53"/>
  <c r="B53"/>
  <c r="AH53" s="1"/>
  <c r="AF52"/>
  <c r="B52"/>
  <c r="AH52" s="1"/>
  <c r="AF51"/>
  <c r="B51"/>
  <c r="AF50"/>
  <c r="B50"/>
  <c r="AH50" s="1"/>
  <c r="AF49"/>
  <c r="B49"/>
  <c r="AH49" s="1"/>
  <c r="AF47"/>
  <c r="B47"/>
  <c r="AH47" s="1"/>
  <c r="AF46"/>
  <c r="B46"/>
  <c r="AH46" s="1"/>
  <c r="AF45"/>
  <c r="B45"/>
  <c r="AF44"/>
  <c r="B44"/>
  <c r="AH44" s="1"/>
  <c r="AF43"/>
  <c r="B43"/>
  <c r="AH43" s="1"/>
  <c r="AF42"/>
  <c r="B42"/>
  <c r="AH42" s="1"/>
  <c r="AF41"/>
  <c r="B41"/>
  <c r="AH41" s="1"/>
  <c r="AF40"/>
  <c r="B40"/>
  <c r="AH40" s="1"/>
  <c r="AF39"/>
  <c r="B39"/>
  <c r="AF38"/>
  <c r="B38"/>
  <c r="AH38" s="1"/>
  <c r="AF37"/>
  <c r="B37"/>
  <c r="AH37" s="1"/>
  <c r="AF36"/>
  <c r="AE36"/>
  <c r="B36"/>
  <c r="AF34"/>
  <c r="AE34"/>
  <c r="B34"/>
  <c r="AH34" s="1"/>
  <c r="AF33"/>
  <c r="AE33"/>
  <c r="B33"/>
  <c r="E6" i="5"/>
  <c r="E5"/>
  <c r="B27" i="3"/>
  <c r="B26"/>
  <c r="B24"/>
  <c r="B23"/>
  <c r="B22"/>
  <c r="B21"/>
  <c r="B20"/>
  <c r="B19"/>
  <c r="B18"/>
  <c r="B16"/>
  <c r="B14"/>
  <c r="B13"/>
  <c r="B12"/>
  <c r="B11"/>
  <c r="B10"/>
  <c r="B7"/>
  <c r="B6"/>
  <c r="B3"/>
  <c r="B5"/>
  <c r="B25"/>
  <c r="B27" i="10"/>
  <c r="B26"/>
  <c r="Q26" s="1"/>
  <c r="B25"/>
  <c r="B24"/>
  <c r="B23"/>
  <c r="B22"/>
  <c r="Q22" s="1"/>
  <c r="B21"/>
  <c r="B20"/>
  <c r="B19"/>
  <c r="B18"/>
  <c r="Q18" s="1"/>
  <c r="B16"/>
  <c r="B14"/>
  <c r="B13"/>
  <c r="B12"/>
  <c r="B11"/>
  <c r="B10"/>
  <c r="B9"/>
  <c r="B8"/>
  <c r="B7"/>
  <c r="B6"/>
  <c r="B5"/>
  <c r="B3"/>
  <c r="B29" i="4"/>
  <c r="B28"/>
  <c r="B27"/>
  <c r="B26"/>
  <c r="B25"/>
  <c r="B24"/>
  <c r="B23"/>
  <c r="B22"/>
  <c r="B21"/>
  <c r="B20"/>
  <c r="B19"/>
  <c r="B17"/>
  <c r="B16"/>
  <c r="B15"/>
  <c r="B14"/>
  <c r="B13"/>
  <c r="B12"/>
  <c r="B11"/>
  <c r="B10"/>
  <c r="B9"/>
  <c r="B8"/>
  <c r="B7"/>
  <c r="B6"/>
  <c r="B4"/>
  <c r="B3"/>
  <c r="AB32" i="6"/>
  <c r="AK32"/>
  <c r="AI32"/>
  <c r="AH32"/>
  <c r="AF32"/>
  <c r="AE32"/>
  <c r="AC32"/>
  <c r="Z32"/>
  <c r="AL3"/>
  <c r="AL5"/>
  <c r="AL6"/>
  <c r="AL7"/>
  <c r="AL8"/>
  <c r="AL9"/>
  <c r="AL10"/>
  <c r="AL11"/>
  <c r="AL12"/>
  <c r="AL13"/>
  <c r="AL14"/>
  <c r="AL16"/>
  <c r="AL18"/>
  <c r="AL19"/>
  <c r="AL20"/>
  <c r="AL21"/>
  <c r="AL22"/>
  <c r="AL23"/>
  <c r="AL24"/>
  <c r="AL25"/>
  <c r="AL26"/>
  <c r="AL27"/>
  <c r="AM27"/>
  <c r="AM26"/>
  <c r="AM25"/>
  <c r="AM24"/>
  <c r="AM23"/>
  <c r="AM22"/>
  <c r="AM21"/>
  <c r="AM20"/>
  <c r="AM19"/>
  <c r="AM18"/>
  <c r="AM16"/>
  <c r="AM14"/>
  <c r="AM13"/>
  <c r="AM12"/>
  <c r="AM11"/>
  <c r="AM10"/>
  <c r="AM9"/>
  <c r="AM8"/>
  <c r="AM7"/>
  <c r="AM6"/>
  <c r="AM5"/>
  <c r="AM3"/>
  <c r="L5" i="1"/>
  <c r="L6"/>
  <c r="L8"/>
  <c r="L9"/>
  <c r="L11"/>
  <c r="L4"/>
  <c r="J5"/>
  <c r="J8"/>
  <c r="J9"/>
  <c r="J10"/>
  <c r="J11"/>
  <c r="J4"/>
  <c r="O5"/>
  <c r="O6"/>
  <c r="O8"/>
  <c r="O9"/>
  <c r="O11"/>
  <c r="O4"/>
  <c r="I5"/>
  <c r="I6"/>
  <c r="I8"/>
  <c r="I9"/>
  <c r="I11"/>
  <c r="I4"/>
  <c r="M5"/>
  <c r="M6"/>
  <c r="M9"/>
  <c r="M10"/>
  <c r="M11"/>
  <c r="M4"/>
  <c r="G5"/>
  <c r="G9"/>
  <c r="G10"/>
  <c r="G11"/>
  <c r="G4"/>
  <c r="R29" i="11" l="1"/>
  <c r="AE13" i="14"/>
  <c r="AE21"/>
  <c r="AE27"/>
  <c r="F21" i="5" s="1"/>
  <c r="AE23" i="14"/>
  <c r="AE25"/>
  <c r="F16" i="5" s="1"/>
  <c r="AE20" i="14"/>
  <c r="AE8"/>
  <c r="F6" i="5" s="1"/>
  <c r="AE16" i="14"/>
  <c r="AE3"/>
  <c r="F27" i="5" s="1"/>
  <c r="AP12" i="6"/>
  <c r="AO12"/>
  <c r="AO11"/>
  <c r="AP11" s="1"/>
  <c r="D3" i="5" s="1"/>
  <c r="AP19" i="6"/>
  <c r="AO19"/>
  <c r="AO9"/>
  <c r="AP9"/>
  <c r="AP10"/>
  <c r="AO10"/>
  <c r="AO8"/>
  <c r="AP8"/>
  <c r="AP14"/>
  <c r="AO14"/>
  <c r="AH44" i="14"/>
  <c r="Q11" i="10"/>
  <c r="AH68" i="14"/>
  <c r="AH88"/>
  <c r="AH108"/>
  <c r="AE18"/>
  <c r="F15" i="5" s="1"/>
  <c r="AE17" i="14"/>
  <c r="AE6"/>
  <c r="F25" i="5" s="1"/>
  <c r="AE11" i="14"/>
  <c r="AE7"/>
  <c r="F13" i="5" s="1"/>
  <c r="AE4" i="14"/>
  <c r="F12" i="5" s="1"/>
  <c r="AE19" i="14"/>
  <c r="F18" i="5" s="1"/>
  <c r="AE28" i="14"/>
  <c r="F17" i="5" s="1"/>
  <c r="AE12" i="14"/>
  <c r="F11" i="5" s="1"/>
  <c r="AE24" i="14"/>
  <c r="F8" i="5" s="1"/>
  <c r="F33"/>
  <c r="AE22" i="14"/>
  <c r="F14" i="5" s="1"/>
  <c r="F32"/>
  <c r="AE5" i="14"/>
  <c r="F10" i="5" s="1"/>
  <c r="AE15" i="14"/>
  <c r="F4" i="5" s="1"/>
  <c r="F30"/>
  <c r="AE9" i="14"/>
  <c r="F7" i="5" s="1"/>
  <c r="F31"/>
  <c r="AE10" i="14"/>
  <c r="F5" i="5" s="1"/>
  <c r="E30"/>
  <c r="E32"/>
  <c r="P7" i="10"/>
  <c r="P4"/>
  <c r="P18"/>
  <c r="P14"/>
  <c r="P17"/>
  <c r="F9" i="5"/>
  <c r="F23"/>
  <c r="F26"/>
  <c r="F19"/>
  <c r="F22"/>
  <c r="F3"/>
  <c r="F24"/>
  <c r="AH33" i="4"/>
  <c r="AH66"/>
  <c r="AE4" s="1"/>
  <c r="AG35"/>
  <c r="Q17" i="10"/>
  <c r="G19" i="5" s="1"/>
  <c r="Q27" i="10"/>
  <c r="AH36" i="4"/>
  <c r="AH58"/>
  <c r="AN17" i="6"/>
  <c r="AH39" i="4"/>
  <c r="AH45"/>
  <c r="AH51"/>
  <c r="AN7" i="6"/>
  <c r="D17" i="5"/>
  <c r="D26"/>
  <c r="D18"/>
  <c r="D24"/>
  <c r="D23"/>
  <c r="D11"/>
  <c r="D5"/>
  <c r="D6"/>
  <c r="D25"/>
  <c r="D27"/>
  <c r="AN4" i="6"/>
  <c r="D12" i="5"/>
  <c r="D8"/>
  <c r="D14"/>
  <c r="D9"/>
  <c r="D22"/>
  <c r="D13"/>
  <c r="D10"/>
  <c r="AN18" i="6"/>
  <c r="AN20"/>
  <c r="AN22"/>
  <c r="AP29"/>
  <c r="Q4" i="10"/>
  <c r="G12" i="5" s="1"/>
  <c r="Q24" i="10"/>
  <c r="G8" i="5" s="1"/>
  <c r="Q20" i="10"/>
  <c r="G9" i="5" s="1"/>
  <c r="Q16" i="10"/>
  <c r="G24" i="5" s="1"/>
  <c r="Q13" i="10"/>
  <c r="G23" i="5" s="1"/>
  <c r="Q6" i="10"/>
  <c r="G25" i="5" s="1"/>
  <c r="G3"/>
  <c r="G15"/>
  <c r="G14"/>
  <c r="G21"/>
  <c r="Q25" i="10"/>
  <c r="G16" i="5" s="1"/>
  <c r="Q19" i="10"/>
  <c r="G18" i="5" s="1"/>
  <c r="Q12" i="10"/>
  <c r="G11" i="5" s="1"/>
  <c r="Q10" i="10"/>
  <c r="G5" i="5" s="1"/>
  <c r="Q8" i="10"/>
  <c r="G6" i="5" s="1"/>
  <c r="Q23" i="10"/>
  <c r="Q21"/>
  <c r="G26" i="5" s="1"/>
  <c r="Q14" i="10"/>
  <c r="G22" i="5" s="1"/>
  <c r="Q7" i="10"/>
  <c r="G13" i="5" s="1"/>
  <c r="Q3" i="10"/>
  <c r="G27" i="5" s="1"/>
  <c r="P5" i="10"/>
  <c r="Q5"/>
  <c r="G10" i="5" s="1"/>
  <c r="P9" i="10"/>
  <c r="Q9"/>
  <c r="G7" i="5" s="1"/>
  <c r="AN9" i="6"/>
  <c r="D19" i="5"/>
  <c r="P20" i="10"/>
  <c r="AN24" i="6"/>
  <c r="AN11"/>
  <c r="AN14"/>
  <c r="AN26"/>
  <c r="G17" i="5"/>
  <c r="P22" i="10"/>
  <c r="AN5" i="6"/>
  <c r="AG68" i="4"/>
  <c r="P8" i="10"/>
  <c r="P25"/>
  <c r="AN3" i="6"/>
  <c r="AN6"/>
  <c r="AN8"/>
  <c r="AN10"/>
  <c r="AN12"/>
  <c r="AN13"/>
  <c r="AN16"/>
  <c r="AN19"/>
  <c r="AN21"/>
  <c r="AN23"/>
  <c r="AN25"/>
  <c r="AN27"/>
  <c r="E31" i="5"/>
  <c r="E33"/>
  <c r="P26" i="10"/>
  <c r="P24"/>
  <c r="AG59" i="4"/>
  <c r="AG66"/>
  <c r="AG38"/>
  <c r="AG40"/>
  <c r="AG42"/>
  <c r="AG44"/>
  <c r="AG46"/>
  <c r="AG49"/>
  <c r="AG51"/>
  <c r="AG53"/>
  <c r="AG55"/>
  <c r="AG57"/>
  <c r="AG33"/>
  <c r="AG36"/>
  <c r="AG34"/>
  <c r="AG37"/>
  <c r="AG39"/>
  <c r="AG41"/>
  <c r="AG43"/>
  <c r="AG45"/>
  <c r="AG47"/>
  <c r="AG50"/>
  <c r="AG52"/>
  <c r="AG54"/>
  <c r="AG56"/>
  <c r="AG58"/>
  <c r="D21" i="5"/>
  <c r="D15"/>
  <c r="D7"/>
  <c r="D16" l="1"/>
  <c r="D20"/>
  <c r="I20" s="1"/>
  <c r="J20"/>
  <c r="I27"/>
  <c r="G32"/>
  <c r="I4"/>
  <c r="J27"/>
  <c r="G30"/>
  <c r="D32"/>
  <c r="D30"/>
  <c r="J3"/>
  <c r="J16"/>
  <c r="D31"/>
  <c r="AE22" i="4"/>
  <c r="AE20"/>
  <c r="AE27"/>
  <c r="AE7"/>
  <c r="J25" i="5" s="1"/>
  <c r="AE23" i="4"/>
  <c r="AE21"/>
  <c r="AG5"/>
  <c r="AE17"/>
  <c r="AE5"/>
  <c r="J15" i="5" s="1"/>
  <c r="G31"/>
  <c r="AE13" i="4"/>
  <c r="G33" i="5"/>
  <c r="E34"/>
  <c r="E28"/>
  <c r="G28"/>
  <c r="AE28" i="4"/>
  <c r="AE18"/>
  <c r="AE11"/>
  <c r="AG18"/>
  <c r="AE8"/>
  <c r="AE12"/>
  <c r="AE29"/>
  <c r="AE25"/>
  <c r="AE26"/>
  <c r="J9" i="5" s="1"/>
  <c r="AE24" i="4"/>
  <c r="AE19"/>
  <c r="AE15"/>
  <c r="AE16"/>
  <c r="J26" i="5" s="1"/>
  <c r="AE14" i="4"/>
  <c r="AE10"/>
  <c r="AE9"/>
  <c r="AE6"/>
  <c r="AG3"/>
  <c r="AE3"/>
  <c r="AG29"/>
  <c r="AG25"/>
  <c r="AG21"/>
  <c r="AG16"/>
  <c r="AG8"/>
  <c r="AG26"/>
  <c r="AG22"/>
  <c r="AG17"/>
  <c r="AG13"/>
  <c r="AG4"/>
  <c r="AG27"/>
  <c r="AG23"/>
  <c r="AG19"/>
  <c r="AG14"/>
  <c r="AG6"/>
  <c r="AG28"/>
  <c r="AG24"/>
  <c r="AG20"/>
  <c r="AG15"/>
  <c r="AG7"/>
  <c r="AG10"/>
  <c r="AG12"/>
  <c r="AG9"/>
  <c r="AG11"/>
  <c r="J7" i="5" l="1"/>
  <c r="J8"/>
  <c r="J12"/>
  <c r="J11"/>
  <c r="J21"/>
  <c r="J24"/>
  <c r="J13"/>
  <c r="J14"/>
  <c r="J5"/>
  <c r="J23"/>
  <c r="J10"/>
  <c r="G34"/>
  <c r="D33"/>
  <c r="D34" s="1"/>
  <c r="D28"/>
  <c r="J22"/>
  <c r="J19" l="1"/>
  <c r="J17"/>
  <c r="J18"/>
  <c r="J4"/>
  <c r="J6"/>
  <c r="F28"/>
  <c r="F34" l="1"/>
  <c r="H12"/>
  <c r="I12" s="1"/>
  <c r="H25"/>
  <c r="I25" s="1"/>
  <c r="H10"/>
  <c r="I10" s="1"/>
  <c r="H13"/>
  <c r="I13" s="1"/>
  <c r="H11"/>
  <c r="I11" s="1"/>
  <c r="H15"/>
  <c r="I15" s="1"/>
  <c r="H14"/>
  <c r="I14" s="1"/>
  <c r="H7"/>
  <c r="I7" s="1"/>
  <c r="H26"/>
  <c r="I26" s="1"/>
  <c r="H3"/>
  <c r="H19"/>
  <c r="I19" s="1"/>
  <c r="H21"/>
  <c r="I21" s="1"/>
  <c r="H18"/>
  <c r="I18" s="1"/>
  <c r="H22"/>
  <c r="I22" s="1"/>
  <c r="H24"/>
  <c r="I24" s="1"/>
  <c r="H23"/>
  <c r="I23" s="1"/>
  <c r="H16"/>
  <c r="I16" s="1"/>
  <c r="H9"/>
  <c r="I9" s="1"/>
  <c r="H5"/>
  <c r="H8"/>
  <c r="H6"/>
  <c r="H17"/>
  <c r="H32" l="1"/>
  <c r="I32" s="1"/>
  <c r="I3"/>
  <c r="H30"/>
  <c r="I30" s="1"/>
  <c r="I6"/>
  <c r="I8"/>
  <c r="H33"/>
  <c r="I33" s="1"/>
  <c r="I17"/>
  <c r="I5"/>
  <c r="H31"/>
  <c r="I31" s="1"/>
  <c r="H28"/>
  <c r="I28" l="1"/>
  <c r="I34"/>
  <c r="H34"/>
</calcChain>
</file>

<file path=xl/sharedStrings.xml><?xml version="1.0" encoding="utf-8"?>
<sst xmlns="http://schemas.openxmlformats.org/spreadsheetml/2006/main" count="994" uniqueCount="165">
  <si>
    <t>RP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</si>
  <si>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</si>
  <si>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</si>
  <si>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</si>
  <si>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</si>
  <si>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</si>
  <si>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</si>
  <si>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</si>
  <si>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</si>
  <si>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</si>
  <si>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</si>
  <si>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</si>
  <si>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</si>
  <si>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</si>
  <si>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</si>
  <si>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</si>
  <si>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</si>
  <si>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</si>
  <si>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</si>
  <si>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</si>
  <si>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</si>
  <si>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</si>
  <si>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</si>
  <si>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</si>
  <si>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</si>
  <si>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</si>
  <si>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</si>
  <si>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</si>
  <si>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</si>
  <si>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</si>
  <si>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</si>
  <si>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</si>
  <si>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</si>
  <si>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</si>
  <si>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</si>
  <si>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</si>
  <si>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Jméno</t>
  </si>
  <si>
    <t>BÉZA Michal</t>
  </si>
  <si>
    <t>BEZNOSKA Jaroslav</t>
  </si>
  <si>
    <t>FIALA Leoš ml.</t>
  </si>
  <si>
    <t>FIALA Leoš st.</t>
  </si>
  <si>
    <t>FRIŠ Miroslav</t>
  </si>
  <si>
    <t>HEROUT František</t>
  </si>
  <si>
    <t>HEROUT Tomáš</t>
  </si>
  <si>
    <t>HEROUT Václav</t>
  </si>
  <si>
    <t>JANDEJSEK Pavel</t>
  </si>
  <si>
    <t>JANDEJSEK Zdeněk</t>
  </si>
  <si>
    <t>JANKO Lukáš</t>
  </si>
  <si>
    <t>KAMARÝT Jiří</t>
  </si>
  <si>
    <t>KRČMÁŘ Jiří</t>
  </si>
  <si>
    <t>MATĚJKA František</t>
  </si>
  <si>
    <t>MORAVEC Jiří</t>
  </si>
  <si>
    <t>NĚMEC Marek</t>
  </si>
  <si>
    <t>NEVŘELA Daniel</t>
  </si>
  <si>
    <t>PAJER Martin</t>
  </si>
  <si>
    <t>ROUB Pavel</t>
  </si>
  <si>
    <t>SEMANÍK Viktor</t>
  </si>
  <si>
    <t>ŠMIDT Karel</t>
  </si>
  <si>
    <t>VÁVRA Vladimír</t>
  </si>
  <si>
    <t>VESELÝ Josef</t>
  </si>
  <si>
    <t>VRZÁČEK Josef</t>
  </si>
  <si>
    <t>Body</t>
  </si>
  <si>
    <t>1.RP</t>
  </si>
  <si>
    <t>2.RP</t>
  </si>
  <si>
    <t>3.RP</t>
  </si>
  <si>
    <t>4.RP</t>
  </si>
  <si>
    <t>KP</t>
  </si>
  <si>
    <t>TOP</t>
  </si>
  <si>
    <t>Turnaje</t>
  </si>
  <si>
    <t>Mistráky</t>
  </si>
  <si>
    <t>Bonus</t>
  </si>
  <si>
    <t>Treninky</t>
  </si>
  <si>
    <t>Místo</t>
  </si>
  <si>
    <t>Účast</t>
  </si>
  <si>
    <t>Kde?</t>
  </si>
  <si>
    <t>Krajské přebory</t>
  </si>
  <si>
    <t>Regionální přebory</t>
  </si>
  <si>
    <t>Trénink SKC, pátek (max 3 zápasy)</t>
  </si>
  <si>
    <t>1x Výhra</t>
  </si>
  <si>
    <t>-</t>
  </si>
  <si>
    <t>Mistrák 10 (za SKC)</t>
  </si>
  <si>
    <t>Mistrák 18 (za SKC)</t>
  </si>
  <si>
    <t>Další otevřený turnaj (max 6 zápasů)</t>
  </si>
  <si>
    <t>Regionální pohár - skupina, "A" část</t>
  </si>
  <si>
    <t>Regionální pohár - část útěchy</t>
  </si>
  <si>
    <t>TOP 16, Čáslav (bonusový turnaj)</t>
  </si>
  <si>
    <t>Pohár (bonusový mistrák)</t>
  </si>
  <si>
    <t>bez Mistráků</t>
  </si>
  <si>
    <t>mistráky</t>
  </si>
  <si>
    <t>celkem:</t>
  </si>
  <si>
    <t>treninky</t>
  </si>
  <si>
    <t>Body (min-max)</t>
  </si>
  <si>
    <t>Bude zvolen nejužitečnější hráč: celkově, A-týmu, B-týmu, C-týmu a D-týmu</t>
  </si>
  <si>
    <t>Velký počet bodů lze získat účastí na turnajích a na trenincích, což by mělo být motivující.</t>
  </si>
  <si>
    <t>ČP</t>
  </si>
  <si>
    <t>ŠKOPEK Pavel</t>
  </si>
  <si>
    <t>Tým</t>
  </si>
  <si>
    <t>C</t>
  </si>
  <si>
    <t>D</t>
  </si>
  <si>
    <t>B</t>
  </si>
  <si>
    <t>A</t>
  </si>
  <si>
    <t>V bonusech se projeví to, že C a D-tým ztrácí možnost hraní dalších 4 zápasů oproti ostatním!!!!</t>
  </si>
  <si>
    <t>bonus</t>
  </si>
  <si>
    <t>Tento bonus bude mít hodnotu jejich průměru bodu na zápas, krát příslušná hodnota (návrh)</t>
  </si>
  <si>
    <t>Příklad:</t>
  </si>
  <si>
    <t>Bonus bude započítán za tolik zápasů, kolik by hráč nejpravděpodobněji odehrál podle průběhu sezóny</t>
  </si>
  <si>
    <t>Další</t>
  </si>
  <si>
    <t>Ú</t>
  </si>
  <si>
    <t>Bodování</t>
  </si>
  <si>
    <t>Výhry</t>
  </si>
  <si>
    <t>Soupiska</t>
  </si>
  <si>
    <t>S</t>
  </si>
  <si>
    <t>F</t>
  </si>
  <si>
    <t>Účastí</t>
  </si>
  <si>
    <t>V/Ú</t>
  </si>
  <si>
    <t>S1</t>
  </si>
  <si>
    <t>S2</t>
  </si>
  <si>
    <t>Český pohár - Kolik výher</t>
  </si>
  <si>
    <t>Mistráky 10 - Kolik výher</t>
  </si>
  <si>
    <t>Mistráky 18 - Kolik výher</t>
  </si>
  <si>
    <t>Mistráky body jednotlivě podle kol (VZORCE)</t>
  </si>
  <si>
    <r>
      <t xml:space="preserve">Turnaje - </t>
    </r>
    <r>
      <rPr>
        <b/>
        <sz val="16"/>
        <color rgb="FFFF0000"/>
        <rFont val="Calibri"/>
        <family val="2"/>
        <charset val="238"/>
        <scheme val="minor"/>
      </rPr>
      <t>Body celkem</t>
    </r>
  </si>
  <si>
    <t>MENŠÍK Vladimír</t>
  </si>
  <si>
    <t>S3</t>
  </si>
  <si>
    <t>BUDJAČ Libor</t>
  </si>
  <si>
    <t>Popis</t>
  </si>
  <si>
    <t>Body za Hráče měsíce</t>
  </si>
  <si>
    <t>Hráč měsíce - Body celkem</t>
  </si>
  <si>
    <t>Anketa</t>
  </si>
  <si>
    <t>Anketa o hráče měsíce</t>
  </si>
  <si>
    <t>Trénink SKC, pátek (max 2 zápasy)</t>
  </si>
  <si>
    <t>A-tým</t>
  </si>
  <si>
    <t>B-tým</t>
  </si>
  <si>
    <t>C-tým</t>
  </si>
  <si>
    <t>D-tým</t>
  </si>
  <si>
    <t>bez</t>
  </si>
  <si>
    <t>Průměrná účast:</t>
  </si>
  <si>
    <t>Regionální pohár - skupina</t>
  </si>
  <si>
    <t>Regionolní pohár - soutěž A</t>
  </si>
  <si>
    <t>Regionální pohár - finále A</t>
  </si>
  <si>
    <t>B9</t>
  </si>
  <si>
    <t>B11</t>
  </si>
  <si>
    <t>B12</t>
  </si>
  <si>
    <t>B1</t>
  </si>
  <si>
    <t>B2</t>
  </si>
  <si>
    <t>B3</t>
  </si>
  <si>
    <t>B4</t>
  </si>
  <si>
    <t>Limit</t>
  </si>
  <si>
    <t>Tréninky - Napiš kolikrát si vyhrál (max. 2x)</t>
  </si>
  <si>
    <t>Utkání</t>
  </si>
  <si>
    <t>DIVIZE</t>
  </si>
  <si>
    <t>KRAJSKÝ PŘEBOR II.TŘÍDY</t>
  </si>
  <si>
    <t>REGIONÁLNÍ PŘEBOR</t>
  </si>
  <si>
    <t>REGIONÁLNÍ SOUTĚŽ</t>
  </si>
  <si>
    <t>Divize</t>
  </si>
  <si>
    <t>KP2</t>
  </si>
  <si>
    <t>RS</t>
  </si>
  <si>
    <t>Způsob bodování 2011/2012</t>
  </si>
  <si>
    <t>Limity celkových bodů 2011/2012</t>
  </si>
  <si>
    <t>KUČERA Lukáš</t>
  </si>
  <si>
    <t>KUČ</t>
  </si>
  <si>
    <t>ŠVARC Ondřej</t>
  </si>
  <si>
    <t>Vánoce</t>
  </si>
  <si>
    <t>SKC</t>
  </si>
  <si>
    <t>Konečné pořadí k 12.05.2012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</si>
</sst>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7"/>
      <name val="Verdana"/>
      <family val="2"/>
      <charset val="238"/>
    </font>
    <font>
      <sz val="7"/>
      <color theme="1"/>
      <name val="Verdana"/>
      <family val="2"/>
      <charset val="238"/>
    </font>
    <font>
      <b/>
      <sz val="7"/>
      <color theme="0"/>
      <name val="Verdana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8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/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2" xfId="0" applyFont="1" applyBorder="1"/>
    <xf numFmtId="0" fontId="4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/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7" fillId="0" borderId="15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4" borderId="50" xfId="0" applyFont="1" applyFill="1" applyBorder="1" applyAlignment="1">
      <alignment horizontal="center" vertical="center"/>
    </xf>
    <xf numFmtId="0" fontId="1" fillId="0" borderId="51" xfId="0" applyFont="1" applyBorder="1"/>
    <xf numFmtId="0" fontId="3" fillId="0" borderId="52" xfId="0" applyFont="1" applyBorder="1" applyAlignment="1" applyProtection="1">
      <alignment horizontal="left"/>
      <protection locked="0"/>
    </xf>
    <xf numFmtId="0" fontId="3" fillId="0" borderId="53" xfId="0" applyFont="1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left"/>
      <protection locked="0"/>
    </xf>
    <xf numFmtId="0" fontId="1" fillId="0" borderId="5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0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9" fillId="0" borderId="3" xfId="0" applyFont="1" applyBorder="1" applyAlignment="1">
      <alignment horizontal="center"/>
    </xf>
    <xf numFmtId="0" fontId="9" fillId="0" borderId="51" xfId="0" applyFont="1" applyBorder="1"/>
    <xf numFmtId="0" fontId="9" fillId="0" borderId="5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/>
    <xf numFmtId="0" fontId="9" fillId="2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0" fillId="0" borderId="63" xfId="0" applyFont="1" applyFill="1" applyBorder="1" applyAlignment="1">
      <alignment horizontal="left" vertical="center"/>
    </xf>
    <xf numFmtId="0" fontId="4" fillId="0" borderId="63" xfId="0" applyFont="1" applyFill="1" applyBorder="1" applyAlignment="1"/>
    <xf numFmtId="0" fontId="3" fillId="0" borderId="56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 vertical="center"/>
      <protection locked="0"/>
    </xf>
    <xf numFmtId="0" fontId="0" fillId="2" borderId="68" xfId="0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6" xfId="0" applyFont="1" applyBorder="1" applyAlignment="1"/>
    <xf numFmtId="0" fontId="10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9" xfId="0" applyBorder="1"/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3" fillId="0" borderId="73" xfId="0" applyFont="1" applyBorder="1" applyAlignment="1" applyProtection="1">
      <alignment horizontal="center"/>
      <protection locked="0"/>
    </xf>
    <xf numFmtId="0" fontId="0" fillId="3" borderId="74" xfId="0" applyFill="1" applyBorder="1" applyAlignment="1">
      <alignment horizontal="center"/>
    </xf>
    <xf numFmtId="0" fontId="3" fillId="0" borderId="75" xfId="0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24" fillId="0" borderId="73" xfId="0" applyFont="1" applyBorder="1" applyAlignment="1" applyProtection="1">
      <alignment horizontal="left"/>
      <protection locked="0"/>
    </xf>
    <xf numFmtId="0" fontId="24" fillId="0" borderId="75" xfId="0" applyFont="1" applyBorder="1" applyAlignment="1" applyProtection="1">
      <alignment horizontal="left"/>
      <protection locked="0"/>
    </xf>
    <xf numFmtId="0" fontId="24" fillId="0" borderId="78" xfId="0" applyFont="1" applyBorder="1" applyAlignment="1" applyProtection="1">
      <alignment horizontal="left"/>
      <protection locked="0"/>
    </xf>
    <xf numFmtId="0" fontId="0" fillId="7" borderId="74" xfId="0" applyFill="1" applyBorder="1" applyAlignment="1">
      <alignment horizontal="center"/>
    </xf>
    <xf numFmtId="0" fontId="0" fillId="7" borderId="77" xfId="0" applyFill="1" applyBorder="1" applyAlignment="1">
      <alignment horizontal="center"/>
    </xf>
    <xf numFmtId="0" fontId="25" fillId="0" borderId="0" xfId="0" applyFont="1"/>
    <xf numFmtId="0" fontId="0" fillId="0" borderId="47" xfId="0" applyBorder="1" applyAlignment="1">
      <alignment horizontal="center"/>
    </xf>
    <xf numFmtId="0" fontId="4" fillId="0" borderId="41" xfId="0" applyFont="1" applyBorder="1" applyAlignment="1"/>
    <xf numFmtId="0" fontId="0" fillId="0" borderId="25" xfId="0" applyBorder="1" applyAlignment="1"/>
    <xf numFmtId="0" fontId="0" fillId="0" borderId="62" xfId="0" applyBorder="1" applyAlignment="1"/>
    <xf numFmtId="0" fontId="0" fillId="0" borderId="53" xfId="0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/>
    <xf numFmtId="0" fontId="1" fillId="6" borderId="11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0" xfId="0" applyFont="1"/>
    <xf numFmtId="0" fontId="30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4" fillId="0" borderId="1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2" borderId="71" xfId="0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0" fontId="3" fillId="0" borderId="83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4" fillId="6" borderId="83" xfId="0" applyFont="1" applyFill="1" applyBorder="1" applyAlignment="1">
      <alignment horizontal="center" vertical="center"/>
    </xf>
    <xf numFmtId="0" fontId="3" fillId="0" borderId="84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4" fillId="6" borderId="8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2" fillId="0" borderId="41" xfId="0" applyFont="1" applyBorder="1"/>
    <xf numFmtId="0" fontId="23" fillId="0" borderId="21" xfId="0" applyFont="1" applyBorder="1" applyAlignment="1">
      <alignment horizontal="center"/>
    </xf>
    <xf numFmtId="0" fontId="4" fillId="9" borderId="4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7" fillId="4" borderId="8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10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7" fillId="0" borderId="15" xfId="0" applyFont="1" applyBorder="1" applyAlignment="1"/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Border="1" applyAlignment="1"/>
    <xf numFmtId="0" fontId="20" fillId="4" borderId="4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4" fillId="0" borderId="42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15" xfId="0" applyBorder="1" applyAlignment="1"/>
    <xf numFmtId="0" fontId="4" fillId="0" borderId="56" xfId="0" applyFont="1" applyBorder="1" applyAlignment="1"/>
    <xf numFmtId="0" fontId="0" fillId="0" borderId="55" xfId="0" applyBorder="1" applyAlignment="1"/>
    <xf numFmtId="0" fontId="0" fillId="0" borderId="61" xfId="0" applyBorder="1" applyAlignment="1"/>
    <xf numFmtId="0" fontId="4" fillId="0" borderId="41" xfId="0" applyFont="1" applyBorder="1" applyAlignment="1"/>
    <xf numFmtId="0" fontId="0" fillId="0" borderId="25" xfId="0" applyBorder="1" applyAlignment="1"/>
    <xf numFmtId="0" fontId="0" fillId="0" borderId="62" xfId="0" applyBorder="1" applyAlignment="1"/>
    <xf numFmtId="0" fontId="10" fillId="4" borderId="1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vertical="center"/>
    </xf>
    <xf numFmtId="0" fontId="10" fillId="4" borderId="59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4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33" fillId="0" borderId="56" xfId="0" applyFont="1" applyBorder="1" applyAlignment="1"/>
    <xf numFmtId="0" fontId="6" fillId="0" borderId="55" xfId="0" applyFont="1" applyBorder="1" applyAlignment="1"/>
    <xf numFmtId="0" fontId="6" fillId="0" borderId="61" xfId="0" applyFont="1" applyBorder="1" applyAlignment="1"/>
    <xf numFmtId="0" fontId="4" fillId="0" borderId="56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59" xfId="0" applyFont="1" applyBorder="1" applyAlignment="1"/>
    <xf numFmtId="0" fontId="0" fillId="0" borderId="32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8" fillId="0" borderId="15" xfId="0" applyFont="1" applyBorder="1" applyAlignment="1"/>
    <xf numFmtId="0" fontId="6" fillId="0" borderId="15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0" fillId="0" borderId="19" xfId="0" applyBorder="1"/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0" borderId="8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/>
    <xf numFmtId="0" fontId="4" fillId="0" borderId="48" xfId="0" applyFont="1" applyBorder="1" applyAlignment="1"/>
    <xf numFmtId="0" fontId="4" fillId="0" borderId="49" xfId="0" applyFont="1" applyBorder="1" applyAlignment="1"/>
    <xf numFmtId="0" fontId="4" fillId="0" borderId="6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0" fillId="4" borderId="30" xfId="0" applyFont="1" applyFill="1" applyBorder="1" applyAlignment="1">
      <alignment horizontal="left" vertical="center"/>
    </xf>
    <xf numFmtId="0" fontId="10" fillId="4" borderId="58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8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  <color rgb="FFFF5050"/>
      <color rgb="FFFF66CC"/>
      <color rgb="FFFF6600"/>
      <color rgb="FF66FF66"/>
      <color rgb="FFFFFF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selection activeCell="E9" sqref="E9"/>
    </sheetView>
  </sheetViews>
  <sheetFormatPr defaultRowHeight="15"/>
  <cols>
    <col min="1" max="1" width="26.7109375" customWidth="1"/>
    <col min="2" max="2" width="3.7109375" customWidth="1"/>
    <col min="3" max="6" width="2.85546875" customWidth="1"/>
    <col min="7" max="7" width="2.7109375" customWidth="1"/>
    <col min="8" max="8" width="0.42578125" customWidth="1"/>
    <col min="9" max="10" width="2.7109375" customWidth="1"/>
    <col min="11" max="11" width="0.42578125" customWidth="1"/>
    <col min="12" max="13" width="2.7109375" customWidth="1"/>
    <col min="14" max="14" width="0.42578125" customWidth="1"/>
    <col min="15" max="15" width="2.7109375" customWidth="1"/>
    <col min="16" max="16" width="12.42578125" customWidth="1"/>
    <col min="17" max="24" width="7.7109375" customWidth="1"/>
  </cols>
  <sheetData>
    <row r="1" spans="1:25" ht="16.5" thickBot="1">
      <c r="A1" s="241" t="s">
        <v>157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25">
      <c r="A2" s="244" t="s">
        <v>74</v>
      </c>
      <c r="B2" s="242" t="s">
        <v>73</v>
      </c>
      <c r="C2" s="246" t="s">
        <v>78</v>
      </c>
      <c r="D2" s="247"/>
      <c r="E2" s="247"/>
      <c r="F2" s="248"/>
      <c r="G2" s="247" t="s">
        <v>91</v>
      </c>
      <c r="H2" s="247"/>
      <c r="I2" s="247"/>
      <c r="J2" s="247"/>
      <c r="K2" s="247"/>
      <c r="L2" s="247"/>
      <c r="M2" s="247"/>
      <c r="N2" s="247"/>
      <c r="O2" s="252"/>
      <c r="P2" s="19" t="s">
        <v>104</v>
      </c>
    </row>
    <row r="3" spans="1:25" ht="15.75" thickBot="1">
      <c r="A3" s="245"/>
      <c r="B3" s="243"/>
      <c r="C3" s="50" t="s">
        <v>100</v>
      </c>
      <c r="D3" s="75" t="s">
        <v>99</v>
      </c>
      <c r="E3" s="60" t="s">
        <v>97</v>
      </c>
      <c r="F3" s="51" t="s">
        <v>98</v>
      </c>
      <c r="G3" s="253" t="s">
        <v>100</v>
      </c>
      <c r="H3" s="253"/>
      <c r="I3" s="254"/>
      <c r="J3" s="249" t="s">
        <v>97</v>
      </c>
      <c r="K3" s="249"/>
      <c r="L3" s="250"/>
      <c r="M3" s="249" t="s">
        <v>98</v>
      </c>
      <c r="N3" s="249"/>
      <c r="O3" s="250"/>
      <c r="P3" s="11"/>
    </row>
    <row r="4" spans="1:25">
      <c r="A4" s="36" t="s">
        <v>130</v>
      </c>
      <c r="B4" s="37">
        <v>2</v>
      </c>
      <c r="C4" s="38">
        <v>1</v>
      </c>
      <c r="D4" s="20">
        <v>1</v>
      </c>
      <c r="E4" s="20">
        <v>1</v>
      </c>
      <c r="F4" s="39">
        <v>2</v>
      </c>
      <c r="G4" s="52">
        <f>B4</f>
        <v>2</v>
      </c>
      <c r="H4" s="52" t="s">
        <v>79</v>
      </c>
      <c r="I4" s="53">
        <f>(P4*C4)+B4</f>
        <v>4</v>
      </c>
      <c r="J4" s="54">
        <f>B4</f>
        <v>2</v>
      </c>
      <c r="K4" s="52" t="s">
        <v>79</v>
      </c>
      <c r="L4" s="53">
        <f>B4+(E4*P4)</f>
        <v>4</v>
      </c>
      <c r="M4" s="229">
        <f>B4</f>
        <v>2</v>
      </c>
      <c r="N4" s="230" t="s">
        <v>79</v>
      </c>
      <c r="O4" s="231">
        <f>(P4*F4)+B4</f>
        <v>6</v>
      </c>
      <c r="P4" s="11">
        <v>2</v>
      </c>
      <c r="Q4" s="15"/>
      <c r="R4" s="15"/>
      <c r="S4" s="15"/>
      <c r="T4" s="15"/>
      <c r="U4" s="18"/>
      <c r="V4" s="15"/>
      <c r="W4" s="15"/>
      <c r="X4" s="15"/>
      <c r="Y4" s="15"/>
    </row>
    <row r="5" spans="1:25">
      <c r="A5" s="36" t="s">
        <v>82</v>
      </c>
      <c r="B5" s="37">
        <v>5</v>
      </c>
      <c r="C5" s="38">
        <v>1</v>
      </c>
      <c r="D5" s="40">
        <v>1</v>
      </c>
      <c r="E5" s="40">
        <v>1</v>
      </c>
      <c r="F5" s="39">
        <v>1</v>
      </c>
      <c r="G5" s="52">
        <f t="shared" ref="G5:G11" si="0">B5</f>
        <v>5</v>
      </c>
      <c r="H5" s="52" t="s">
        <v>79</v>
      </c>
      <c r="I5" s="53">
        <f t="shared" ref="I5:I11" si="1">(P5*C5)+B5</f>
        <v>11</v>
      </c>
      <c r="J5" s="54">
        <f t="shared" ref="J5:J11" si="2">B5</f>
        <v>5</v>
      </c>
      <c r="K5" s="52" t="s">
        <v>79</v>
      </c>
      <c r="L5" s="53">
        <f t="shared" ref="L5:L11" si="3">B5+(E5*P5)</f>
        <v>11</v>
      </c>
      <c r="M5" s="54">
        <f t="shared" ref="M5:M11" si="4">B5</f>
        <v>5</v>
      </c>
      <c r="N5" s="52" t="s">
        <v>79</v>
      </c>
      <c r="O5" s="55">
        <f t="shared" ref="O5:O11" si="5">(P5*F5)+B5</f>
        <v>11</v>
      </c>
      <c r="P5" s="16">
        <v>6</v>
      </c>
      <c r="Q5" s="15"/>
      <c r="R5" s="15"/>
      <c r="S5" s="17"/>
      <c r="T5" s="17"/>
    </row>
    <row r="6" spans="1:25">
      <c r="A6" s="41" t="s">
        <v>137</v>
      </c>
      <c r="B6" s="42">
        <v>7</v>
      </c>
      <c r="C6" s="43">
        <v>1</v>
      </c>
      <c r="D6" s="21">
        <v>1</v>
      </c>
      <c r="E6" s="21">
        <v>2</v>
      </c>
      <c r="F6" s="44">
        <v>4</v>
      </c>
      <c r="G6" s="56">
        <v>5</v>
      </c>
      <c r="H6" s="56" t="s">
        <v>79</v>
      </c>
      <c r="I6" s="53">
        <f t="shared" si="1"/>
        <v>10</v>
      </c>
      <c r="J6" s="54">
        <v>5</v>
      </c>
      <c r="K6" s="56" t="s">
        <v>79</v>
      </c>
      <c r="L6" s="53">
        <f t="shared" si="3"/>
        <v>13</v>
      </c>
      <c r="M6" s="54">
        <f t="shared" si="4"/>
        <v>7</v>
      </c>
      <c r="N6" s="56" t="s">
        <v>79</v>
      </c>
      <c r="O6" s="55">
        <f t="shared" si="5"/>
        <v>19</v>
      </c>
      <c r="P6" s="16">
        <v>3</v>
      </c>
      <c r="Q6" s="15"/>
      <c r="R6" s="15"/>
      <c r="S6" s="15"/>
      <c r="T6" s="15"/>
      <c r="U6" s="18"/>
      <c r="V6" s="18"/>
      <c r="W6" s="15"/>
      <c r="X6" s="15"/>
      <c r="Y6" s="15"/>
    </row>
    <row r="7" spans="1:25">
      <c r="A7" s="41" t="s">
        <v>139</v>
      </c>
      <c r="B7" s="42">
        <v>0</v>
      </c>
      <c r="C7" s="43">
        <v>2</v>
      </c>
      <c r="D7" s="21">
        <v>2</v>
      </c>
      <c r="E7" s="21">
        <v>4</v>
      </c>
      <c r="F7" s="44">
        <v>6</v>
      </c>
      <c r="G7" s="56">
        <f t="shared" si="0"/>
        <v>0</v>
      </c>
      <c r="H7" s="56"/>
      <c r="I7" s="53">
        <f t="shared" si="1"/>
        <v>8</v>
      </c>
      <c r="J7" s="54">
        <f t="shared" si="2"/>
        <v>0</v>
      </c>
      <c r="K7" s="56"/>
      <c r="L7" s="53">
        <f t="shared" si="3"/>
        <v>16</v>
      </c>
      <c r="M7" s="54">
        <f t="shared" si="4"/>
        <v>0</v>
      </c>
      <c r="N7" s="56"/>
      <c r="O7" s="55">
        <f t="shared" si="5"/>
        <v>24</v>
      </c>
      <c r="P7" s="16">
        <v>4</v>
      </c>
      <c r="Q7" s="15"/>
      <c r="R7" s="15"/>
      <c r="S7" s="15"/>
      <c r="T7" s="15"/>
      <c r="U7" s="18"/>
      <c r="V7" s="18"/>
      <c r="W7" s="15"/>
      <c r="X7" s="15"/>
      <c r="Y7" s="15"/>
    </row>
    <row r="8" spans="1:25">
      <c r="A8" s="41" t="s">
        <v>84</v>
      </c>
      <c r="B8" s="42">
        <v>0</v>
      </c>
      <c r="C8" s="43">
        <v>1</v>
      </c>
      <c r="D8" s="21">
        <v>1</v>
      </c>
      <c r="E8" s="21">
        <v>2</v>
      </c>
      <c r="F8" s="44">
        <v>3</v>
      </c>
      <c r="G8" s="56">
        <v>0</v>
      </c>
      <c r="H8" s="56"/>
      <c r="I8" s="53">
        <f t="shared" si="1"/>
        <v>4</v>
      </c>
      <c r="J8" s="54">
        <f t="shared" si="2"/>
        <v>0</v>
      </c>
      <c r="K8" s="56"/>
      <c r="L8" s="53">
        <f t="shared" si="3"/>
        <v>8</v>
      </c>
      <c r="M8" s="54">
        <v>0</v>
      </c>
      <c r="N8" s="56"/>
      <c r="O8" s="55">
        <f t="shared" si="5"/>
        <v>12</v>
      </c>
      <c r="P8" s="16">
        <v>4</v>
      </c>
      <c r="Q8" s="15"/>
      <c r="R8" s="15"/>
      <c r="S8" s="15"/>
      <c r="T8" s="15"/>
      <c r="U8" s="18"/>
      <c r="V8" s="18"/>
      <c r="W8" s="15"/>
      <c r="X8" s="15"/>
      <c r="Y8" s="15"/>
    </row>
    <row r="9" spans="1:25">
      <c r="A9" s="41" t="s">
        <v>76</v>
      </c>
      <c r="B9" s="42">
        <v>7</v>
      </c>
      <c r="C9" s="43">
        <v>2</v>
      </c>
      <c r="D9" s="21">
        <v>2</v>
      </c>
      <c r="E9" s="21">
        <v>4</v>
      </c>
      <c r="F9" s="44">
        <v>6</v>
      </c>
      <c r="G9" s="56">
        <f t="shared" si="0"/>
        <v>7</v>
      </c>
      <c r="H9" s="56" t="s">
        <v>79</v>
      </c>
      <c r="I9" s="53">
        <f t="shared" si="1"/>
        <v>21</v>
      </c>
      <c r="J9" s="54">
        <f t="shared" si="2"/>
        <v>7</v>
      </c>
      <c r="K9" s="56" t="s">
        <v>79</v>
      </c>
      <c r="L9" s="53">
        <f t="shared" si="3"/>
        <v>35</v>
      </c>
      <c r="M9" s="54">
        <f t="shared" si="4"/>
        <v>7</v>
      </c>
      <c r="N9" s="56" t="s">
        <v>79</v>
      </c>
      <c r="O9" s="55">
        <f t="shared" si="5"/>
        <v>49</v>
      </c>
      <c r="P9" s="11">
        <v>7</v>
      </c>
      <c r="Q9" s="15"/>
      <c r="R9" s="15"/>
      <c r="S9" s="15"/>
      <c r="T9" s="15"/>
      <c r="U9" s="18"/>
      <c r="V9" s="18"/>
      <c r="W9" s="15"/>
      <c r="X9" s="15"/>
      <c r="Y9" s="15"/>
    </row>
    <row r="10" spans="1:25">
      <c r="A10" s="41" t="s">
        <v>75</v>
      </c>
      <c r="B10" s="42">
        <v>9</v>
      </c>
      <c r="C10" s="43">
        <v>3</v>
      </c>
      <c r="D10" s="21">
        <v>4</v>
      </c>
      <c r="E10" s="21">
        <v>8</v>
      </c>
      <c r="F10" s="44">
        <v>15</v>
      </c>
      <c r="G10" s="56">
        <f t="shared" si="0"/>
        <v>9</v>
      </c>
      <c r="H10" s="56" t="s">
        <v>79</v>
      </c>
      <c r="I10" s="53">
        <f t="shared" si="1"/>
        <v>33</v>
      </c>
      <c r="J10" s="54">
        <f t="shared" si="2"/>
        <v>9</v>
      </c>
      <c r="K10" s="56" t="s">
        <v>79</v>
      </c>
      <c r="L10" s="53">
        <f t="shared" si="3"/>
        <v>73</v>
      </c>
      <c r="M10" s="54">
        <f t="shared" si="4"/>
        <v>9</v>
      </c>
      <c r="N10" s="56" t="s">
        <v>79</v>
      </c>
      <c r="O10" s="59">
        <f t="shared" si="5"/>
        <v>129</v>
      </c>
      <c r="P10" s="11">
        <v>8</v>
      </c>
      <c r="Q10" s="15"/>
      <c r="R10" s="15"/>
      <c r="S10" s="15"/>
      <c r="T10" s="15"/>
      <c r="U10" s="18"/>
      <c r="V10" s="18"/>
      <c r="W10" s="15"/>
      <c r="X10" s="15"/>
      <c r="Y10" s="15"/>
    </row>
    <row r="11" spans="1:25">
      <c r="A11" s="41" t="s">
        <v>85</v>
      </c>
      <c r="B11" s="42">
        <v>5</v>
      </c>
      <c r="C11" s="43">
        <v>1</v>
      </c>
      <c r="D11" s="21">
        <v>1</v>
      </c>
      <c r="E11" s="21">
        <v>3</v>
      </c>
      <c r="F11" s="44">
        <v>5</v>
      </c>
      <c r="G11" s="56">
        <f t="shared" si="0"/>
        <v>5</v>
      </c>
      <c r="H11" s="56" t="s">
        <v>79</v>
      </c>
      <c r="I11" s="53">
        <f t="shared" si="1"/>
        <v>14</v>
      </c>
      <c r="J11" s="54">
        <f t="shared" si="2"/>
        <v>5</v>
      </c>
      <c r="K11" s="56" t="s">
        <v>79</v>
      </c>
      <c r="L11" s="53">
        <f t="shared" si="3"/>
        <v>32</v>
      </c>
      <c r="M11" s="54">
        <f t="shared" si="4"/>
        <v>5</v>
      </c>
      <c r="N11" s="56" t="s">
        <v>79</v>
      </c>
      <c r="O11" s="55">
        <f t="shared" si="5"/>
        <v>50</v>
      </c>
      <c r="P11" s="11">
        <v>9</v>
      </c>
      <c r="Q11" s="15"/>
      <c r="R11" s="15"/>
      <c r="S11" s="15"/>
      <c r="T11" s="15"/>
      <c r="U11" s="18"/>
      <c r="V11" s="18"/>
      <c r="W11" s="15"/>
      <c r="X11" s="15"/>
      <c r="Y11" s="15"/>
    </row>
    <row r="12" spans="1:25">
      <c r="A12" s="224" t="s">
        <v>150</v>
      </c>
      <c r="B12" s="42">
        <v>5</v>
      </c>
      <c r="C12" s="43">
        <v>4</v>
      </c>
      <c r="D12" s="21">
        <v>4</v>
      </c>
      <c r="E12" s="21">
        <v>4</v>
      </c>
      <c r="F12" s="44">
        <v>4</v>
      </c>
      <c r="G12" s="255">
        <f>B12</f>
        <v>5</v>
      </c>
      <c r="H12" s="256"/>
      <c r="I12" s="256"/>
      <c r="J12" s="256"/>
      <c r="K12" s="56" t="s">
        <v>79</v>
      </c>
      <c r="L12" s="257">
        <f>CEILING(B12+(F12*P12),1)</f>
        <v>23</v>
      </c>
      <c r="M12" s="256"/>
      <c r="N12" s="256"/>
      <c r="O12" s="258"/>
      <c r="P12" s="11">
        <v>4.5</v>
      </c>
      <c r="Q12" s="15"/>
      <c r="R12" s="15"/>
      <c r="S12" s="15"/>
      <c r="T12" s="15"/>
      <c r="U12" s="18"/>
      <c r="V12" s="18"/>
      <c r="W12" s="15"/>
      <c r="X12" s="15"/>
      <c r="Y12" s="15"/>
    </row>
    <row r="13" spans="1:25">
      <c r="A13" s="224" t="s">
        <v>151</v>
      </c>
      <c r="B13" s="42">
        <v>5</v>
      </c>
      <c r="C13" s="226"/>
      <c r="D13" s="164">
        <v>3.5</v>
      </c>
      <c r="E13" s="164">
        <v>3.5</v>
      </c>
      <c r="F13" s="225">
        <v>3.5</v>
      </c>
      <c r="G13" s="255">
        <f>B13</f>
        <v>5</v>
      </c>
      <c r="H13" s="256"/>
      <c r="I13" s="256"/>
      <c r="J13" s="256"/>
      <c r="K13" s="56" t="s">
        <v>79</v>
      </c>
      <c r="L13" s="257">
        <f>CEILING(B13+(F13*P13),1)</f>
        <v>21</v>
      </c>
      <c r="M13" s="256"/>
      <c r="N13" s="256"/>
      <c r="O13" s="258"/>
      <c r="P13" s="11">
        <v>4.5</v>
      </c>
      <c r="Q13" s="15"/>
      <c r="R13" s="15"/>
      <c r="S13" s="15"/>
      <c r="T13" s="15"/>
      <c r="U13" s="18"/>
      <c r="V13" s="18"/>
      <c r="W13" s="15"/>
      <c r="X13" s="15"/>
      <c r="Y13" s="15"/>
    </row>
    <row r="14" spans="1:25">
      <c r="A14" s="224" t="s">
        <v>152</v>
      </c>
      <c r="B14" s="42">
        <v>5</v>
      </c>
      <c r="C14" s="226"/>
      <c r="D14" s="228"/>
      <c r="E14" s="164">
        <v>3.5</v>
      </c>
      <c r="F14" s="225">
        <v>3.5</v>
      </c>
      <c r="G14" s="255">
        <f>B14</f>
        <v>5</v>
      </c>
      <c r="H14" s="256"/>
      <c r="I14" s="256"/>
      <c r="J14" s="256"/>
      <c r="K14" s="56" t="s">
        <v>79</v>
      </c>
      <c r="L14" s="257">
        <f>CEILING(B14+(F14*P14),1)</f>
        <v>21</v>
      </c>
      <c r="M14" s="256"/>
      <c r="N14" s="256"/>
      <c r="O14" s="258"/>
      <c r="P14" s="11">
        <v>4.5</v>
      </c>
      <c r="Q14" s="15"/>
      <c r="R14" s="15"/>
      <c r="S14" s="15"/>
      <c r="T14" s="15"/>
      <c r="U14" s="18"/>
      <c r="V14" s="18"/>
      <c r="W14" s="15"/>
      <c r="X14" s="15"/>
      <c r="Y14" s="15"/>
    </row>
    <row r="15" spans="1:25">
      <c r="A15" s="224" t="s">
        <v>153</v>
      </c>
      <c r="B15" s="42">
        <v>5</v>
      </c>
      <c r="C15" s="226"/>
      <c r="D15" s="227"/>
      <c r="E15" s="227"/>
      <c r="F15" s="44">
        <v>4</v>
      </c>
      <c r="G15" s="255">
        <f>B15</f>
        <v>5</v>
      </c>
      <c r="H15" s="256"/>
      <c r="I15" s="256"/>
      <c r="J15" s="256"/>
      <c r="K15" s="56" t="s">
        <v>79</v>
      </c>
      <c r="L15" s="257">
        <f>CEILING(B15+(F15*P15),1)</f>
        <v>23</v>
      </c>
      <c r="M15" s="256"/>
      <c r="N15" s="256"/>
      <c r="O15" s="258"/>
      <c r="P15" s="11">
        <v>4.5</v>
      </c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thickBot="1">
      <c r="A16" s="45" t="s">
        <v>86</v>
      </c>
      <c r="B16" s="46">
        <v>4</v>
      </c>
      <c r="C16" s="47">
        <v>3</v>
      </c>
      <c r="D16" s="22">
        <v>4</v>
      </c>
      <c r="E16" s="22">
        <v>8</v>
      </c>
      <c r="F16" s="48">
        <v>10</v>
      </c>
      <c r="G16" s="259">
        <f>B16</f>
        <v>4</v>
      </c>
      <c r="H16" s="260"/>
      <c r="I16" s="260"/>
      <c r="J16" s="260"/>
      <c r="K16" s="57" t="s">
        <v>79</v>
      </c>
      <c r="L16" s="261">
        <f>B16+(F16*P16)</f>
        <v>44</v>
      </c>
      <c r="M16" s="260"/>
      <c r="N16" s="260"/>
      <c r="O16" s="262"/>
      <c r="P16" s="11">
        <v>4</v>
      </c>
      <c r="Q16" s="15"/>
      <c r="R16" s="15"/>
      <c r="S16" s="15"/>
      <c r="T16" s="15"/>
      <c r="U16" s="18"/>
      <c r="V16" s="18"/>
      <c r="W16" s="15"/>
      <c r="X16" s="15"/>
      <c r="Y16" s="15"/>
    </row>
    <row r="17" spans="1:25" ht="15.75" thickBot="1">
      <c r="H17" s="251"/>
      <c r="I17" s="251"/>
      <c r="J17" s="49"/>
      <c r="K17" s="251"/>
      <c r="L17" s="251"/>
      <c r="M17" s="49"/>
      <c r="N17" s="251"/>
      <c r="O17" s="251"/>
      <c r="Q17" s="15"/>
      <c r="R17" s="15"/>
      <c r="S17" s="15"/>
      <c r="T17" s="15"/>
    </row>
    <row r="18" spans="1:25" ht="15.75" thickBot="1">
      <c r="A18" s="159" t="s">
        <v>74</v>
      </c>
      <c r="B18" s="160" t="s">
        <v>1</v>
      </c>
      <c r="C18" s="160" t="s">
        <v>2</v>
      </c>
      <c r="D18" s="160" t="s">
        <v>3</v>
      </c>
      <c r="E18" s="160" t="s">
        <v>4</v>
      </c>
      <c r="F18" s="160" t="s">
        <v>5</v>
      </c>
      <c r="G18" s="161" t="s">
        <v>6</v>
      </c>
      <c r="H18" s="98"/>
      <c r="I18" s="98"/>
      <c r="J18" s="49"/>
      <c r="K18" s="98"/>
      <c r="L18" s="98"/>
      <c r="M18" s="49"/>
      <c r="N18" s="98"/>
      <c r="O18" s="98"/>
      <c r="Q18" s="15"/>
      <c r="R18" s="15"/>
      <c r="S18" s="15"/>
      <c r="T18" s="15"/>
    </row>
    <row r="19" spans="1:25" ht="15.75" thickBot="1">
      <c r="A19" s="155" t="s">
        <v>129</v>
      </c>
      <c r="B19" s="156">
        <v>10</v>
      </c>
      <c r="C19" s="156">
        <v>6</v>
      </c>
      <c r="D19" s="156">
        <v>4</v>
      </c>
      <c r="E19" s="156">
        <v>3</v>
      </c>
      <c r="F19" s="157">
        <v>2</v>
      </c>
      <c r="G19" s="158">
        <v>1</v>
      </c>
      <c r="H19" s="98"/>
      <c r="I19" s="98"/>
      <c r="J19" s="49"/>
      <c r="K19" s="98"/>
      <c r="L19" s="98"/>
      <c r="M19" s="49"/>
      <c r="N19" s="98"/>
      <c r="O19" s="98"/>
      <c r="Q19" s="15"/>
      <c r="R19" s="15"/>
      <c r="S19" s="15"/>
      <c r="T19" s="15"/>
    </row>
    <row r="20" spans="1:25">
      <c r="H20" s="98"/>
      <c r="I20" s="98"/>
      <c r="J20" s="49"/>
      <c r="K20" s="98"/>
      <c r="L20" s="98"/>
      <c r="M20" s="49"/>
      <c r="N20" s="98"/>
      <c r="O20" s="98"/>
      <c r="Q20" s="15"/>
      <c r="R20" s="15"/>
      <c r="S20" s="15"/>
      <c r="T20" s="15"/>
    </row>
    <row r="21" spans="1:25">
      <c r="A21" t="s">
        <v>92</v>
      </c>
      <c r="P21" t="s">
        <v>87</v>
      </c>
    </row>
    <row r="22" spans="1:25">
      <c r="A22" t="s">
        <v>93</v>
      </c>
      <c r="P22" t="s">
        <v>90</v>
      </c>
    </row>
    <row r="23" spans="1:25">
      <c r="A23" t="s">
        <v>101</v>
      </c>
      <c r="P23" t="s">
        <v>88</v>
      </c>
    </row>
    <row r="24" spans="1:25">
      <c r="A24" t="s">
        <v>103</v>
      </c>
      <c r="P24" t="s">
        <v>89</v>
      </c>
      <c r="Q24" s="232"/>
      <c r="R24" s="232"/>
      <c r="S24" s="232"/>
      <c r="T24" s="232"/>
      <c r="U24" s="232"/>
      <c r="V24" s="232"/>
      <c r="W24" s="232"/>
      <c r="X24" s="232"/>
      <c r="Y24" s="232"/>
    </row>
    <row r="25" spans="1:25">
      <c r="A25" t="s">
        <v>105</v>
      </c>
      <c r="P25" t="s">
        <v>102</v>
      </c>
    </row>
  </sheetData>
  <mergeCells count="21">
    <mergeCell ref="H17:I17"/>
    <mergeCell ref="K17:L17"/>
    <mergeCell ref="N17:O17"/>
    <mergeCell ref="G2:O2"/>
    <mergeCell ref="G3:I3"/>
    <mergeCell ref="M3:O3"/>
    <mergeCell ref="G13:J13"/>
    <mergeCell ref="L13:O13"/>
    <mergeCell ref="G14:J14"/>
    <mergeCell ref="L14:O14"/>
    <mergeCell ref="G15:J15"/>
    <mergeCell ref="L15:O15"/>
    <mergeCell ref="G16:J16"/>
    <mergeCell ref="L16:O16"/>
    <mergeCell ref="G12:J12"/>
    <mergeCell ref="L12:O12"/>
    <mergeCell ref="A1:O1"/>
    <mergeCell ref="B2:B3"/>
    <mergeCell ref="A2:A3"/>
    <mergeCell ref="C2:F2"/>
    <mergeCell ref="J3:L3"/>
  </mergeCells>
  <pageMargins left="0.7" right="0.7" top="0.78740157499999996" bottom="0.78740157499999996" header="0.3" footer="0.3"/>
  <pageSetup paperSize="9" orientation="portrait" verticalDpi="0" r:id="rId1"/>
  <ignoredErrors>
    <ignoredError sqref="L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38"/>
  <sheetViews>
    <sheetView workbookViewId="0">
      <selection activeCell="A15" sqref="A15"/>
    </sheetView>
  </sheetViews>
  <sheetFormatPr defaultRowHeight="15"/>
  <cols>
    <col min="1" max="1" width="19.42578125" customWidth="1"/>
    <col min="2" max="3" width="4.7109375" customWidth="1"/>
    <col min="4" max="29" width="2.7109375" customWidth="1"/>
    <col min="30" max="30" width="5.7109375" customWidth="1"/>
    <col min="31" max="31" width="4.7109375" customWidth="1"/>
    <col min="32" max="33" width="4.7109375" style="11" customWidth="1"/>
    <col min="34" max="34" width="8.7109375" style="11" customWidth="1"/>
  </cols>
  <sheetData>
    <row r="1" spans="1:34" ht="21.75" thickBot="1">
      <c r="A1" s="263" t="s">
        <v>120</v>
      </c>
      <c r="B1" s="263"/>
      <c r="C1" s="263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315"/>
      <c r="AF1"/>
      <c r="AG1"/>
      <c r="AH1"/>
    </row>
    <row r="2" spans="1:34" s="109" customFormat="1" ht="12" thickBot="1">
      <c r="A2" s="76" t="s">
        <v>36</v>
      </c>
      <c r="B2" s="80" t="s">
        <v>96</v>
      </c>
      <c r="C2" s="80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6" t="s">
        <v>21</v>
      </c>
      <c r="Y2" s="5" t="s">
        <v>22</v>
      </c>
      <c r="Z2" s="5" t="s">
        <v>111</v>
      </c>
      <c r="AA2" s="5" t="s">
        <v>111</v>
      </c>
      <c r="AB2" s="5" t="s">
        <v>112</v>
      </c>
      <c r="AC2" s="82" t="s">
        <v>112</v>
      </c>
      <c r="AD2" s="81" t="s">
        <v>70</v>
      </c>
      <c r="AE2" s="108" t="s">
        <v>61</v>
      </c>
      <c r="AF2" s="97"/>
      <c r="AG2" s="97" t="s">
        <v>61</v>
      </c>
      <c r="AH2" s="97"/>
    </row>
    <row r="3" spans="1:34">
      <c r="A3" s="77" t="s">
        <v>37</v>
      </c>
      <c r="B3" s="83" t="e">
        <f>INDEX(Soupiska!$A$3:$B$27,MATCH(A3,Soupiska!$A$3:$A$27,0),2)</f>
        <v>#N/A</v>
      </c>
      <c r="C3" s="127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1"/>
      <c r="AD3" s="72"/>
      <c r="AE3" s="9" t="e">
        <f t="shared" ref="AE3:AE29" si="0">SUM(LOOKUP(A3,$A$33:$A$59,$AH$33:$AH$59),LOOKUP(A3,$A$66:$A$68,$AH$66:$AH$68))</f>
        <v>#N/A</v>
      </c>
      <c r="AF3" s="96"/>
      <c r="AG3" s="96" t="e">
        <f>SUM(LOOKUP($A$3,$A$33:$A$59,$AH$33:$AH$59),LOOKUP($A$3,$A$66:$A$68,$AH$66:$AH$68))</f>
        <v>#N/A</v>
      </c>
      <c r="AH3" s="96"/>
    </row>
    <row r="4" spans="1:34">
      <c r="A4" s="78" t="s">
        <v>38</v>
      </c>
      <c r="B4" s="84" t="str">
        <f>INDEX(Soupiska!$A$3:$B$27,MATCH(A4,Soupiska!$A$3:$A$27,0),2)</f>
        <v>D</v>
      </c>
      <c r="C4" s="128"/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3"/>
      <c r="AE4" s="9" t="e">
        <f t="shared" si="0"/>
        <v>#N/A</v>
      </c>
      <c r="AF4" s="96"/>
      <c r="AG4" s="96" t="e">
        <f t="shared" ref="AG4:AG29" si="1">SUM(LOOKUP(A4,$A$33:$A$59,$AH$33:$AH$59),LOOKUP(A4,$A$66:$A$68,$AH$66:$AH$68))</f>
        <v>#N/A</v>
      </c>
      <c r="AH4" s="96"/>
    </row>
    <row r="5" spans="1:34">
      <c r="A5" s="78" t="s">
        <v>124</v>
      </c>
      <c r="B5" s="84" t="str">
        <f>INDEX(Soupiska!$A$3:$B$27,MATCH(A5,Soupiska!$A$3:$A$27,0),2)</f>
        <v>B</v>
      </c>
      <c r="C5" s="128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4"/>
      <c r="AD5" s="73"/>
      <c r="AE5" s="9" t="e">
        <f t="shared" si="0"/>
        <v>#N/A</v>
      </c>
      <c r="AF5" s="96"/>
      <c r="AG5" s="96" t="e">
        <f t="shared" si="1"/>
        <v>#N/A</v>
      </c>
      <c r="AH5" s="96"/>
    </row>
    <row r="6" spans="1:34">
      <c r="A6" s="78" t="s">
        <v>39</v>
      </c>
      <c r="B6" s="84" t="str">
        <f>INDEX(Soupiska!$A$3:$B$27,MATCH(A6,Soupiska!$A$3:$A$27,0),2)</f>
        <v>B</v>
      </c>
      <c r="C6" s="128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73"/>
      <c r="AE6" s="9" t="e">
        <f t="shared" si="0"/>
        <v>#N/A</v>
      </c>
      <c r="AF6" s="96"/>
      <c r="AG6" s="96" t="e">
        <f t="shared" si="1"/>
        <v>#N/A</v>
      </c>
      <c r="AH6" s="96"/>
    </row>
    <row r="7" spans="1:34">
      <c r="A7" s="78" t="s">
        <v>40</v>
      </c>
      <c r="B7" s="84" t="str">
        <f>INDEX(Soupiska!$A$3:$B$27,MATCH(A7,Soupiska!$A$3:$A$27,0),2)</f>
        <v>D</v>
      </c>
      <c r="C7" s="128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73"/>
      <c r="AE7" s="9" t="e">
        <f t="shared" si="0"/>
        <v>#N/A</v>
      </c>
      <c r="AF7" s="96"/>
      <c r="AG7" s="96" t="e">
        <f t="shared" si="1"/>
        <v>#N/A</v>
      </c>
      <c r="AH7" s="96"/>
    </row>
    <row r="8" spans="1:34">
      <c r="A8" s="78" t="s">
        <v>41</v>
      </c>
      <c r="B8" s="84" t="str">
        <f>INDEX(Soupiska!$A$3:$B$27,MATCH(A8,Soupiska!$A$3:$A$27,0),2)</f>
        <v>D</v>
      </c>
      <c r="C8" s="128"/>
      <c r="D8" s="102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73"/>
      <c r="AE8" s="9" t="e">
        <f t="shared" si="0"/>
        <v>#N/A</v>
      </c>
      <c r="AF8" s="96"/>
      <c r="AG8" s="96" t="e">
        <f t="shared" si="1"/>
        <v>#N/A</v>
      </c>
      <c r="AH8" s="96"/>
    </row>
    <row r="9" spans="1:34">
      <c r="A9" s="78" t="s">
        <v>42</v>
      </c>
      <c r="B9" s="84" t="str">
        <f>INDEX(Soupiska!$A$3:$B$27,MATCH(A9,Soupiska!$A$3:$A$27,0),2)</f>
        <v>A</v>
      </c>
      <c r="C9" s="128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73"/>
      <c r="AE9" s="9" t="e">
        <f t="shared" si="0"/>
        <v>#N/A</v>
      </c>
      <c r="AF9" s="96"/>
      <c r="AG9" s="96" t="e">
        <f t="shared" si="1"/>
        <v>#N/A</v>
      </c>
      <c r="AH9" s="96"/>
    </row>
    <row r="10" spans="1:34">
      <c r="A10" s="78" t="s">
        <v>43</v>
      </c>
      <c r="B10" s="84" t="str">
        <f>INDEX(Soupiska!$A$3:$B$27,MATCH(A10,Soupiska!$A$3:$A$27,0),2)</f>
        <v>B</v>
      </c>
      <c r="C10" s="128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73"/>
      <c r="AE10" s="9" t="e">
        <f t="shared" si="0"/>
        <v>#N/A</v>
      </c>
      <c r="AF10" s="96"/>
      <c r="AG10" s="96" t="e">
        <f t="shared" si="1"/>
        <v>#N/A</v>
      </c>
      <c r="AH10" s="96"/>
    </row>
    <row r="11" spans="1:34">
      <c r="A11" s="78" t="s">
        <v>44</v>
      </c>
      <c r="B11" s="84" t="str">
        <f>INDEX(Soupiska!$A$3:$B$27,MATCH(A11,Soupiska!$A$3:$A$27,0),2)</f>
        <v>C</v>
      </c>
      <c r="C11" s="128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73"/>
      <c r="AE11" s="9" t="e">
        <f t="shared" si="0"/>
        <v>#N/A</v>
      </c>
      <c r="AF11" s="96"/>
      <c r="AG11" s="96" t="e">
        <f t="shared" si="1"/>
        <v>#N/A</v>
      </c>
      <c r="AH11" s="96"/>
    </row>
    <row r="12" spans="1:34">
      <c r="A12" s="78" t="s">
        <v>45</v>
      </c>
      <c r="B12" s="84" t="str">
        <f>INDEX(Soupiska!$A$3:$B$27,MATCH(A12,Soupiska!$A$3:$A$27,0),2)</f>
        <v>B</v>
      </c>
      <c r="C12" s="128"/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73"/>
      <c r="AE12" s="9" t="e">
        <f t="shared" si="0"/>
        <v>#N/A</v>
      </c>
      <c r="AF12" s="96"/>
      <c r="AG12" s="96" t="e">
        <f t="shared" si="1"/>
        <v>#N/A</v>
      </c>
      <c r="AH12" s="96"/>
    </row>
    <row r="13" spans="1:34">
      <c r="A13" s="78" t="s">
        <v>46</v>
      </c>
      <c r="B13" s="84" t="str">
        <f>INDEX(Soupiska!$A$3:$B$27,MATCH(A13,Soupiska!$A$3:$A$27,0),2)</f>
        <v>C</v>
      </c>
      <c r="C13" s="128"/>
      <c r="D13" s="10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73"/>
      <c r="AE13" s="9" t="e">
        <f t="shared" si="0"/>
        <v>#N/A</v>
      </c>
      <c r="AF13" s="96"/>
      <c r="AG13" s="96" t="e">
        <f t="shared" si="1"/>
        <v>#N/A</v>
      </c>
      <c r="AH13" s="96"/>
    </row>
    <row r="14" spans="1:34">
      <c r="A14" s="78" t="s">
        <v>160</v>
      </c>
      <c r="B14" s="84" t="e">
        <f>INDEX(Soupiska!$A$3:$B$27,MATCH(A14,Soupiska!$A$3:$A$27,0),2)</f>
        <v>#N/A</v>
      </c>
      <c r="C14" s="12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73"/>
      <c r="AE14" s="9" t="e">
        <f t="shared" si="0"/>
        <v>#N/A</v>
      </c>
      <c r="AF14" s="96"/>
      <c r="AG14" s="96" t="e">
        <f t="shared" si="1"/>
        <v>#N/A</v>
      </c>
      <c r="AH14" s="96"/>
    </row>
    <row r="15" spans="1:34">
      <c r="A15" s="78" t="s">
        <v>48</v>
      </c>
      <c r="B15" s="84" t="str">
        <f>INDEX(Soupiska!$A$3:$B$27,MATCH(A15,Soupiska!$A$3:$A$27,0),2)</f>
        <v>A</v>
      </c>
      <c r="C15" s="128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73"/>
      <c r="AE15" s="9" t="e">
        <f t="shared" si="0"/>
        <v>#N/A</v>
      </c>
      <c r="AF15" s="96"/>
      <c r="AG15" s="96" t="e">
        <f t="shared" si="1"/>
        <v>#N/A</v>
      </c>
      <c r="AH15" s="96"/>
    </row>
    <row r="16" spans="1:34">
      <c r="A16" s="78" t="s">
        <v>49</v>
      </c>
      <c r="B16" s="84" t="str">
        <f>INDEX(Soupiska!$A$3:$B$27,MATCH(A16,Soupiska!$A$3:$A$27,0),2)</f>
        <v>D</v>
      </c>
      <c r="C16" s="128"/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73"/>
      <c r="AE16" s="9" t="e">
        <f t="shared" si="0"/>
        <v>#N/A</v>
      </c>
      <c r="AF16" s="96"/>
      <c r="AG16" s="96" t="e">
        <f t="shared" si="1"/>
        <v>#N/A</v>
      </c>
      <c r="AH16" s="96"/>
    </row>
    <row r="17" spans="1:34">
      <c r="A17" s="78" t="s">
        <v>50</v>
      </c>
      <c r="B17" s="84" t="str">
        <f>INDEX(Soupiska!$A$3:$B$27,MATCH(A17,Soupiska!$A$3:$A$27,0),2)</f>
        <v>D</v>
      </c>
      <c r="C17" s="128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73"/>
      <c r="AE17" s="9" t="e">
        <f t="shared" si="0"/>
        <v>#N/A</v>
      </c>
      <c r="AF17" s="96"/>
      <c r="AG17" s="96" t="e">
        <f t="shared" si="1"/>
        <v>#N/A</v>
      </c>
      <c r="AH17" s="96"/>
    </row>
    <row r="18" spans="1:34">
      <c r="A18" s="78" t="s">
        <v>122</v>
      </c>
      <c r="B18" s="84" t="str">
        <f>INDEX(Soupiska!$A$3:$B$27,MATCH(A18,Soupiska!$A$3:$A$27,0),2)</f>
        <v>D</v>
      </c>
      <c r="C18" s="128"/>
      <c r="D18" s="102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73"/>
      <c r="AE18" s="9" t="e">
        <f t="shared" si="0"/>
        <v>#N/A</v>
      </c>
      <c r="AF18" s="96"/>
      <c r="AG18" s="96" t="e">
        <f t="shared" si="1"/>
        <v>#N/A</v>
      </c>
      <c r="AH18" s="96"/>
    </row>
    <row r="19" spans="1:34">
      <c r="A19" s="78" t="s">
        <v>51</v>
      </c>
      <c r="B19" s="84" t="str">
        <f>INDEX(Soupiska!$A$3:$B$27,MATCH(A19,Soupiska!$A$3:$A$27,0),2)</f>
        <v>D</v>
      </c>
      <c r="C19" s="128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73"/>
      <c r="AE19" s="9" t="e">
        <f t="shared" si="0"/>
        <v>#N/A</v>
      </c>
      <c r="AF19" s="96"/>
      <c r="AG19" s="96" t="e">
        <f t="shared" si="1"/>
        <v>#N/A</v>
      </c>
      <c r="AH19" s="96"/>
    </row>
    <row r="20" spans="1:34">
      <c r="A20" s="78" t="s">
        <v>52</v>
      </c>
      <c r="B20" s="84" t="str">
        <f>INDEX(Soupiska!$A$3:$B$27,MATCH(A20,Soupiska!$A$3:$A$27,0),2)</f>
        <v>C</v>
      </c>
      <c r="C20" s="128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73"/>
      <c r="AE20" s="9" t="e">
        <f t="shared" si="0"/>
        <v>#N/A</v>
      </c>
      <c r="AF20" s="96"/>
      <c r="AG20" s="96" t="e">
        <f t="shared" si="1"/>
        <v>#N/A</v>
      </c>
      <c r="AH20" s="96"/>
    </row>
    <row r="21" spans="1:34">
      <c r="A21" s="78" t="s">
        <v>53</v>
      </c>
      <c r="B21" s="84" t="str">
        <f>INDEX(Soupiska!$A$3:$B$27,MATCH(A21,Soupiska!$A$3:$A$27,0),2)</f>
        <v>A</v>
      </c>
      <c r="C21" s="128"/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73"/>
      <c r="AE21" s="9" t="e">
        <f t="shared" si="0"/>
        <v>#N/A</v>
      </c>
      <c r="AF21" s="96"/>
      <c r="AG21" s="96" t="e">
        <f t="shared" si="1"/>
        <v>#N/A</v>
      </c>
      <c r="AH21" s="96"/>
    </row>
    <row r="22" spans="1:34">
      <c r="A22" s="78" t="s">
        <v>54</v>
      </c>
      <c r="B22" s="84" t="str">
        <f>INDEX(Soupiska!$A$3:$B$27,MATCH(A22,Soupiska!$A$3:$A$27,0),2)</f>
        <v>D</v>
      </c>
      <c r="C22" s="128"/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73"/>
      <c r="AE22" s="9" t="e">
        <f t="shared" si="0"/>
        <v>#N/A</v>
      </c>
      <c r="AF22" s="96"/>
      <c r="AG22" s="96" t="e">
        <f t="shared" si="1"/>
        <v>#N/A</v>
      </c>
      <c r="AH22" s="96"/>
    </row>
    <row r="23" spans="1:34">
      <c r="A23" s="78" t="s">
        <v>55</v>
      </c>
      <c r="B23" s="84" t="str">
        <f>INDEX(Soupiska!$A$3:$B$27,MATCH(A23,Soupiska!$A$3:$A$27,0),2)</f>
        <v>D</v>
      </c>
      <c r="C23" s="128"/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73"/>
      <c r="AE23" s="9" t="e">
        <f t="shared" si="0"/>
        <v>#N/A</v>
      </c>
      <c r="AF23" s="96"/>
      <c r="AG23" s="96" t="e">
        <f t="shared" si="1"/>
        <v>#N/A</v>
      </c>
      <c r="AH23" s="96"/>
    </row>
    <row r="24" spans="1:34">
      <c r="A24" s="78" t="s">
        <v>56</v>
      </c>
      <c r="B24" s="84" t="str">
        <f>INDEX(Soupiska!$A$3:$B$27,MATCH(A24,Soupiska!$A$3:$A$27,0),2)</f>
        <v>D</v>
      </c>
      <c r="C24" s="128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73"/>
      <c r="AE24" s="9" t="e">
        <f t="shared" si="0"/>
        <v>#N/A</v>
      </c>
      <c r="AF24" s="96"/>
      <c r="AG24" s="96" t="e">
        <f t="shared" si="1"/>
        <v>#N/A</v>
      </c>
      <c r="AH24" s="96"/>
    </row>
    <row r="25" spans="1:34">
      <c r="A25" s="78" t="s">
        <v>95</v>
      </c>
      <c r="B25" s="84" t="str">
        <f>INDEX(Soupiska!$A$3:$B$27,MATCH(A25,Soupiska!$A$3:$A$27,0),2)</f>
        <v>B</v>
      </c>
      <c r="C25" s="128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73"/>
      <c r="AE25" s="9" t="e">
        <f t="shared" si="0"/>
        <v>#N/A</v>
      </c>
      <c r="AF25" s="96"/>
      <c r="AG25" s="96" t="e">
        <f t="shared" si="1"/>
        <v>#N/A</v>
      </c>
      <c r="AH25" s="96"/>
    </row>
    <row r="26" spans="1:34">
      <c r="A26" s="78" t="s">
        <v>57</v>
      </c>
      <c r="B26" s="84" t="str">
        <f>INDEX(Soupiska!$A$3:$B$27,MATCH(A26,Soupiska!$A$3:$A$27,0),2)</f>
        <v>A</v>
      </c>
      <c r="C26" s="128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73"/>
      <c r="AE26" s="9" t="e">
        <f t="shared" si="0"/>
        <v>#N/A</v>
      </c>
      <c r="AF26" s="96"/>
      <c r="AG26" s="96" t="e">
        <f t="shared" si="1"/>
        <v>#N/A</v>
      </c>
      <c r="AH26" s="96"/>
    </row>
    <row r="27" spans="1:34">
      <c r="A27" s="78" t="s">
        <v>58</v>
      </c>
      <c r="B27" s="84" t="str">
        <f>INDEX(Soupiska!$A$3:$B$27,MATCH(A27,Soupiska!$A$3:$A$27,0),2)</f>
        <v>D</v>
      </c>
      <c r="C27" s="128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73"/>
      <c r="AE27" s="9" t="e">
        <f t="shared" si="0"/>
        <v>#N/A</v>
      </c>
      <c r="AF27" s="96"/>
      <c r="AG27" s="96" t="e">
        <f t="shared" si="1"/>
        <v>#N/A</v>
      </c>
      <c r="AH27" s="96"/>
    </row>
    <row r="28" spans="1:34">
      <c r="A28" s="78" t="s">
        <v>59</v>
      </c>
      <c r="B28" s="84" t="str">
        <f>INDEX(Soupiska!$A$3:$B$27,MATCH(A28,Soupiska!$A$3:$A$27,0),2)</f>
        <v>D</v>
      </c>
      <c r="C28" s="128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73"/>
      <c r="AE28" s="9" t="e">
        <f t="shared" si="0"/>
        <v>#N/A</v>
      </c>
      <c r="AF28" s="96"/>
      <c r="AG28" s="96" t="e">
        <f t="shared" si="1"/>
        <v>#N/A</v>
      </c>
      <c r="AH28" s="96"/>
    </row>
    <row r="29" spans="1:34" ht="15.75" thickBot="1">
      <c r="A29" s="79" t="s">
        <v>60</v>
      </c>
      <c r="B29" s="85" t="e">
        <f>INDEX(Soupiska!$A$3:$B$27,MATCH(A29,Soupiska!$A$3:$A$27,0),2)</f>
        <v>#N/A</v>
      </c>
      <c r="C29" s="129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74"/>
      <c r="AE29" s="10" t="e">
        <f t="shared" si="0"/>
        <v>#N/A</v>
      </c>
      <c r="AF29" s="96"/>
      <c r="AG29" s="96" t="e">
        <f t="shared" si="1"/>
        <v>#N/A</v>
      </c>
      <c r="AH29" s="96"/>
    </row>
    <row r="30" spans="1:34" ht="39" customHeight="1">
      <c r="B30" s="63"/>
      <c r="C30" s="63"/>
    </row>
    <row r="31" spans="1:34" ht="21.75" thickBot="1">
      <c r="A31" s="263" t="s">
        <v>118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</row>
    <row r="32" spans="1:34" s="109" customFormat="1" ht="12" thickBot="1">
      <c r="A32" s="4" t="s">
        <v>36</v>
      </c>
      <c r="B32" s="80" t="s">
        <v>96</v>
      </c>
      <c r="C32" s="80"/>
      <c r="D32" s="5" t="s">
        <v>1</v>
      </c>
      <c r="E32" s="5" t="s">
        <v>2</v>
      </c>
      <c r="F32" s="5" t="s">
        <v>3</v>
      </c>
      <c r="G32" s="5" t="s">
        <v>4</v>
      </c>
      <c r="H32" s="5" t="s">
        <v>5</v>
      </c>
      <c r="I32" s="5" t="s">
        <v>6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11</v>
      </c>
      <c r="O32" s="5" t="s">
        <v>12</v>
      </c>
      <c r="P32" s="5" t="s">
        <v>13</v>
      </c>
      <c r="Q32" s="5" t="s">
        <v>14</v>
      </c>
      <c r="R32" s="5" t="s">
        <v>15</v>
      </c>
      <c r="S32" s="5" t="s">
        <v>16</v>
      </c>
      <c r="T32" s="5" t="s">
        <v>17</v>
      </c>
      <c r="U32" s="5" t="s">
        <v>18</v>
      </c>
      <c r="V32" s="5" t="s">
        <v>19</v>
      </c>
      <c r="W32" s="5" t="s">
        <v>20</v>
      </c>
      <c r="X32" s="6" t="s">
        <v>21</v>
      </c>
      <c r="Y32" s="5" t="s">
        <v>22</v>
      </c>
      <c r="Z32" s="5" t="s">
        <v>111</v>
      </c>
      <c r="AA32" s="5" t="s">
        <v>111</v>
      </c>
      <c r="AB32" s="5" t="s">
        <v>112</v>
      </c>
      <c r="AC32" s="82" t="s">
        <v>112</v>
      </c>
      <c r="AD32" s="81" t="s">
        <v>70</v>
      </c>
      <c r="AE32" s="86" t="s">
        <v>113</v>
      </c>
      <c r="AF32" s="86" t="s">
        <v>109</v>
      </c>
      <c r="AG32" s="87" t="s">
        <v>114</v>
      </c>
      <c r="AH32" s="86" t="s">
        <v>61</v>
      </c>
    </row>
    <row r="33" spans="1:34">
      <c r="A33" s="1" t="s">
        <v>37</v>
      </c>
      <c r="B33" s="83" t="e">
        <f>INDEX(Soupiska!$A$3:$B$27,MATCH(A33,Soupiska!$A$3:$A$27,0),2)</f>
        <v>#N/A</v>
      </c>
      <c r="C33" s="9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40"/>
      <c r="Z33" s="40"/>
      <c r="AA33" s="40"/>
      <c r="AB33" s="40"/>
      <c r="AC33" s="39"/>
      <c r="AD33" s="72"/>
      <c r="AE33" s="8">
        <f>COUNTA(D33:AC33)</f>
        <v>0</v>
      </c>
      <c r="AF33" s="8">
        <f>SUM(D33:AC33)</f>
        <v>0</v>
      </c>
      <c r="AG33" s="88" t="str">
        <f>IF(ISERROR(AF33/AE33),"NIC",AF33/AE33)</f>
        <v>NIC</v>
      </c>
      <c r="AH33" s="8" t="e">
        <f>CEILING((AE33*$M$63)+(AF33*(LOOKUP(B33,$O$62:$R$62,$O$63:$R$63))),1)+AD33</f>
        <v>#N/A</v>
      </c>
    </row>
    <row r="34" spans="1:34">
      <c r="A34" s="2" t="s">
        <v>38</v>
      </c>
      <c r="B34" s="84" t="str">
        <f>INDEX(Soupiska!$A$3:$B$27,MATCH(A34,Soupiska!$A$3:$A$27,0),2)</f>
        <v>D</v>
      </c>
      <c r="C34" s="9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44"/>
      <c r="AD34" s="73"/>
      <c r="AE34" s="9">
        <f t="shared" ref="AE34:AE59" si="2">COUNTA(D34:AC34)</f>
        <v>0</v>
      </c>
      <c r="AF34" s="9">
        <f t="shared" ref="AF34:AF59" si="3">SUM(D34:AC34)</f>
        <v>0</v>
      </c>
      <c r="AG34" s="89" t="str">
        <f t="shared" ref="AG34:AG59" si="4">IF(ISERROR(AF34/AE34),"NIC",AF34/AE34)</f>
        <v>NIC</v>
      </c>
      <c r="AH34" s="9">
        <f t="shared" ref="AH34:AH59" si="5">CEILING((AE34*$M$63)+(AF34*(LOOKUP(B34,$O$62:$R$62,$O$63:$R$63))),1)+AD34</f>
        <v>0</v>
      </c>
    </row>
    <row r="35" spans="1:34">
      <c r="A35" s="2" t="s">
        <v>124</v>
      </c>
      <c r="B35" s="84" t="str">
        <f>INDEX(Soupiska!$A$3:$B$27,MATCH(A35,Soupiska!$A$3:$A$27,0),2)</f>
        <v>B</v>
      </c>
      <c r="C35" s="206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207"/>
      <c r="AD35" s="208"/>
      <c r="AE35" s="9">
        <f t="shared" si="2"/>
        <v>0</v>
      </c>
      <c r="AF35" s="9">
        <f t="shared" si="3"/>
        <v>0</v>
      </c>
      <c r="AG35" s="89" t="str">
        <f t="shared" si="4"/>
        <v>NIC</v>
      </c>
      <c r="AH35" s="9">
        <f t="shared" si="5"/>
        <v>0</v>
      </c>
    </row>
    <row r="36" spans="1:34">
      <c r="A36" s="2" t="s">
        <v>39</v>
      </c>
      <c r="B36" s="84" t="str">
        <f>INDEX(Soupiska!$A$3:$B$27,MATCH(A36,Soupiska!$A$3:$A$27,0),2)</f>
        <v>B</v>
      </c>
      <c r="C36" s="20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207"/>
      <c r="AD36" s="208"/>
      <c r="AE36" s="9">
        <f t="shared" si="2"/>
        <v>0</v>
      </c>
      <c r="AF36" s="9">
        <f t="shared" si="3"/>
        <v>0</v>
      </c>
      <c r="AG36" s="89" t="str">
        <f t="shared" si="4"/>
        <v>NIC</v>
      </c>
      <c r="AH36" s="9">
        <f t="shared" si="5"/>
        <v>0</v>
      </c>
    </row>
    <row r="37" spans="1:34">
      <c r="A37" s="2" t="s">
        <v>40</v>
      </c>
      <c r="B37" s="84" t="str">
        <f>INDEX(Soupiska!$A$3:$B$27,MATCH(A37,Soupiska!$A$3:$A$27,0),2)</f>
        <v>D</v>
      </c>
      <c r="C37" s="206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207"/>
      <c r="AD37" s="208"/>
      <c r="AE37" s="9">
        <f t="shared" si="2"/>
        <v>0</v>
      </c>
      <c r="AF37" s="9">
        <f t="shared" si="3"/>
        <v>0</v>
      </c>
      <c r="AG37" s="89" t="str">
        <f t="shared" si="4"/>
        <v>NIC</v>
      </c>
      <c r="AH37" s="9">
        <f t="shared" si="5"/>
        <v>0</v>
      </c>
    </row>
    <row r="38" spans="1:34">
      <c r="A38" s="2" t="s">
        <v>41</v>
      </c>
      <c r="B38" s="84" t="str">
        <f>INDEX(Soupiska!$A$3:$B$27,MATCH(A38,Soupiska!$A$3:$A$27,0),2)</f>
        <v>D</v>
      </c>
      <c r="C38" s="20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207"/>
      <c r="AD38" s="208"/>
      <c r="AE38" s="9">
        <f t="shared" si="2"/>
        <v>0</v>
      </c>
      <c r="AF38" s="9">
        <f t="shared" si="3"/>
        <v>0</v>
      </c>
      <c r="AG38" s="89" t="str">
        <f t="shared" si="4"/>
        <v>NIC</v>
      </c>
      <c r="AH38" s="9">
        <f t="shared" si="5"/>
        <v>0</v>
      </c>
    </row>
    <row r="39" spans="1:34">
      <c r="A39" s="2" t="s">
        <v>42</v>
      </c>
      <c r="B39" s="84" t="str">
        <f>INDEX(Soupiska!$A$3:$B$27,MATCH(A39,Soupiska!$A$3:$A$27,0),2)</f>
        <v>A</v>
      </c>
      <c r="C39" s="20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207"/>
      <c r="AD39" s="208"/>
      <c r="AE39" s="9">
        <f t="shared" si="2"/>
        <v>0</v>
      </c>
      <c r="AF39" s="9">
        <f t="shared" si="3"/>
        <v>0</v>
      </c>
      <c r="AG39" s="89" t="str">
        <f t="shared" si="4"/>
        <v>NIC</v>
      </c>
      <c r="AH39" s="9">
        <f t="shared" si="5"/>
        <v>0</v>
      </c>
    </row>
    <row r="40" spans="1:34">
      <c r="A40" s="2" t="s">
        <v>43</v>
      </c>
      <c r="B40" s="84" t="str">
        <f>INDEX(Soupiska!$A$3:$B$27,MATCH(A40,Soupiska!$A$3:$A$27,0),2)</f>
        <v>B</v>
      </c>
      <c r="C40" s="20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207"/>
      <c r="AD40" s="208"/>
      <c r="AE40" s="9">
        <f t="shared" si="2"/>
        <v>0</v>
      </c>
      <c r="AF40" s="9">
        <f t="shared" si="3"/>
        <v>0</v>
      </c>
      <c r="AG40" s="89" t="str">
        <f t="shared" si="4"/>
        <v>NIC</v>
      </c>
      <c r="AH40" s="9">
        <f t="shared" si="5"/>
        <v>0</v>
      </c>
    </row>
    <row r="41" spans="1:34">
      <c r="A41" s="2" t="s">
        <v>44</v>
      </c>
      <c r="B41" s="84" t="str">
        <f>INDEX(Soupiska!$A$3:$B$27,MATCH(A41,Soupiska!$A$3:$A$27,0),2)</f>
        <v>C</v>
      </c>
      <c r="C41" s="206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207"/>
      <c r="AD41" s="208"/>
      <c r="AE41" s="9">
        <f t="shared" si="2"/>
        <v>0</v>
      </c>
      <c r="AF41" s="9">
        <f t="shared" si="3"/>
        <v>0</v>
      </c>
      <c r="AG41" s="89" t="str">
        <f t="shared" si="4"/>
        <v>NIC</v>
      </c>
      <c r="AH41" s="9">
        <f t="shared" si="5"/>
        <v>0</v>
      </c>
    </row>
    <row r="42" spans="1:34">
      <c r="A42" s="2" t="s">
        <v>45</v>
      </c>
      <c r="B42" s="84" t="str">
        <f>INDEX(Soupiska!$A$3:$B$27,MATCH(A42,Soupiska!$A$3:$A$27,0),2)</f>
        <v>B</v>
      </c>
      <c r="C42" s="206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207"/>
      <c r="AD42" s="208"/>
      <c r="AE42" s="9">
        <f t="shared" si="2"/>
        <v>0</v>
      </c>
      <c r="AF42" s="9">
        <f t="shared" si="3"/>
        <v>0</v>
      </c>
      <c r="AG42" s="89" t="str">
        <f t="shared" si="4"/>
        <v>NIC</v>
      </c>
      <c r="AH42" s="9">
        <f t="shared" si="5"/>
        <v>0</v>
      </c>
    </row>
    <row r="43" spans="1:34">
      <c r="A43" s="2" t="s">
        <v>46</v>
      </c>
      <c r="B43" s="84" t="str">
        <f>INDEX(Soupiska!$A$3:$B$27,MATCH(A43,Soupiska!$A$3:$A$27,0),2)</f>
        <v>C</v>
      </c>
      <c r="C43" s="20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207"/>
      <c r="AD43" s="208"/>
      <c r="AE43" s="9">
        <f t="shared" si="2"/>
        <v>0</v>
      </c>
      <c r="AF43" s="9">
        <f t="shared" si="3"/>
        <v>0</v>
      </c>
      <c r="AG43" s="89" t="str">
        <f t="shared" si="4"/>
        <v>NIC</v>
      </c>
      <c r="AH43" s="9">
        <f t="shared" si="5"/>
        <v>0</v>
      </c>
    </row>
    <row r="44" spans="1:34">
      <c r="A44" s="2" t="s">
        <v>47</v>
      </c>
      <c r="B44" s="84" t="e">
        <f>INDEX(Soupiska!$A$3:$B$27,MATCH(A44,Soupiska!$A$3:$A$27,0),2)</f>
        <v>#N/A</v>
      </c>
      <c r="C44" s="206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207"/>
      <c r="AD44" s="208"/>
      <c r="AE44" s="9">
        <f t="shared" si="2"/>
        <v>0</v>
      </c>
      <c r="AF44" s="9">
        <f t="shared" si="3"/>
        <v>0</v>
      </c>
      <c r="AG44" s="89" t="str">
        <f t="shared" si="4"/>
        <v>NIC</v>
      </c>
      <c r="AH44" s="9" t="e">
        <f t="shared" si="5"/>
        <v>#N/A</v>
      </c>
    </row>
    <row r="45" spans="1:34">
      <c r="A45" s="2" t="s">
        <v>48</v>
      </c>
      <c r="B45" s="84" t="str">
        <f>INDEX(Soupiska!$A$3:$B$27,MATCH(A45,Soupiska!$A$3:$A$27,0),2)</f>
        <v>A</v>
      </c>
      <c r="C45" s="206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207"/>
      <c r="AD45" s="208"/>
      <c r="AE45" s="9">
        <f t="shared" si="2"/>
        <v>0</v>
      </c>
      <c r="AF45" s="9">
        <f t="shared" si="3"/>
        <v>0</v>
      </c>
      <c r="AG45" s="89" t="str">
        <f t="shared" si="4"/>
        <v>NIC</v>
      </c>
      <c r="AH45" s="9">
        <f t="shared" si="5"/>
        <v>0</v>
      </c>
    </row>
    <row r="46" spans="1:34">
      <c r="A46" s="2" t="s">
        <v>49</v>
      </c>
      <c r="B46" s="84" t="str">
        <f>INDEX(Soupiska!$A$3:$B$27,MATCH(A46,Soupiska!$A$3:$A$27,0),2)</f>
        <v>D</v>
      </c>
      <c r="C46" s="20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207"/>
      <c r="AD46" s="208"/>
      <c r="AE46" s="9">
        <f t="shared" si="2"/>
        <v>0</v>
      </c>
      <c r="AF46" s="9">
        <f t="shared" si="3"/>
        <v>0</v>
      </c>
      <c r="AG46" s="89" t="str">
        <f t="shared" si="4"/>
        <v>NIC</v>
      </c>
      <c r="AH46" s="9">
        <f t="shared" si="5"/>
        <v>0</v>
      </c>
    </row>
    <row r="47" spans="1:34">
      <c r="A47" s="2" t="s">
        <v>50</v>
      </c>
      <c r="B47" s="84" t="str">
        <f>INDEX(Soupiska!$A$3:$B$27,MATCH(A47,Soupiska!$A$3:$A$27,0),2)</f>
        <v>D</v>
      </c>
      <c r="C47" s="20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207"/>
      <c r="AD47" s="208"/>
      <c r="AE47" s="9">
        <f t="shared" si="2"/>
        <v>0</v>
      </c>
      <c r="AF47" s="9">
        <f t="shared" si="3"/>
        <v>0</v>
      </c>
      <c r="AG47" s="89" t="str">
        <f t="shared" si="4"/>
        <v>NIC</v>
      </c>
      <c r="AH47" s="9">
        <f t="shared" si="5"/>
        <v>0</v>
      </c>
    </row>
    <row r="48" spans="1:34">
      <c r="A48" s="2" t="s">
        <v>122</v>
      </c>
      <c r="B48" s="84" t="str">
        <f>INDEX(Soupiska!$A$3:$B$27,MATCH(A48,Soupiska!$A$3:$A$27,0),2)</f>
        <v>D</v>
      </c>
      <c r="C48" s="20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207"/>
      <c r="AD48" s="208"/>
      <c r="AE48" s="9">
        <f t="shared" si="2"/>
        <v>0</v>
      </c>
      <c r="AF48" s="9">
        <f t="shared" ref="AF48" si="6">SUM(D48:AC48)</f>
        <v>0</v>
      </c>
      <c r="AG48" s="89" t="str">
        <f t="shared" ref="AG48" si="7">IF(ISERROR(AF48/AE48),"NIC",AF48/AE48)</f>
        <v>NIC</v>
      </c>
      <c r="AH48" s="9">
        <f t="shared" si="5"/>
        <v>0</v>
      </c>
    </row>
    <row r="49" spans="1:34">
      <c r="A49" s="2" t="s">
        <v>51</v>
      </c>
      <c r="B49" s="84" t="str">
        <f>INDEX(Soupiska!$A$3:$B$27,MATCH(A49,Soupiska!$A$3:$A$27,0),2)</f>
        <v>D</v>
      </c>
      <c r="C49" s="206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207"/>
      <c r="AD49" s="208"/>
      <c r="AE49" s="9">
        <f t="shared" si="2"/>
        <v>0</v>
      </c>
      <c r="AF49" s="9">
        <f t="shared" si="3"/>
        <v>0</v>
      </c>
      <c r="AG49" s="89" t="str">
        <f t="shared" si="4"/>
        <v>NIC</v>
      </c>
      <c r="AH49" s="9">
        <f t="shared" si="5"/>
        <v>0</v>
      </c>
    </row>
    <row r="50" spans="1:34">
      <c r="A50" s="2" t="s">
        <v>52</v>
      </c>
      <c r="B50" s="84" t="str">
        <f>INDEX(Soupiska!$A$3:$B$27,MATCH(A50,Soupiska!$A$3:$A$27,0),2)</f>
        <v>C</v>
      </c>
      <c r="C50" s="206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207"/>
      <c r="AD50" s="208"/>
      <c r="AE50" s="9">
        <f t="shared" si="2"/>
        <v>0</v>
      </c>
      <c r="AF50" s="9">
        <f t="shared" si="3"/>
        <v>0</v>
      </c>
      <c r="AG50" s="89" t="str">
        <f t="shared" si="4"/>
        <v>NIC</v>
      </c>
      <c r="AH50" s="9">
        <f t="shared" si="5"/>
        <v>0</v>
      </c>
    </row>
    <row r="51" spans="1:34">
      <c r="A51" s="2" t="s">
        <v>53</v>
      </c>
      <c r="B51" s="84" t="str">
        <f>INDEX(Soupiska!$A$3:$B$27,MATCH(A51,Soupiska!$A$3:$A$27,0),2)</f>
        <v>A</v>
      </c>
      <c r="C51" s="206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207"/>
      <c r="AD51" s="208"/>
      <c r="AE51" s="9">
        <f t="shared" si="2"/>
        <v>0</v>
      </c>
      <c r="AF51" s="9">
        <f t="shared" si="3"/>
        <v>0</v>
      </c>
      <c r="AG51" s="89" t="str">
        <f t="shared" si="4"/>
        <v>NIC</v>
      </c>
      <c r="AH51" s="9">
        <f t="shared" si="5"/>
        <v>0</v>
      </c>
    </row>
    <row r="52" spans="1:34">
      <c r="A52" s="2" t="s">
        <v>54</v>
      </c>
      <c r="B52" s="84" t="str">
        <f>INDEX(Soupiska!$A$3:$B$27,MATCH(A52,Soupiska!$A$3:$A$27,0),2)</f>
        <v>D</v>
      </c>
      <c r="C52" s="20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207"/>
      <c r="AD52" s="208"/>
      <c r="AE52" s="9">
        <f t="shared" si="2"/>
        <v>0</v>
      </c>
      <c r="AF52" s="9">
        <f t="shared" si="3"/>
        <v>0</v>
      </c>
      <c r="AG52" s="89" t="str">
        <f t="shared" si="4"/>
        <v>NIC</v>
      </c>
      <c r="AH52" s="9">
        <f t="shared" si="5"/>
        <v>0</v>
      </c>
    </row>
    <row r="53" spans="1:34">
      <c r="A53" s="2" t="s">
        <v>55</v>
      </c>
      <c r="B53" s="84" t="str">
        <f>INDEX(Soupiska!$A$3:$B$27,MATCH(A53,Soupiska!$A$3:$A$27,0),2)</f>
        <v>D</v>
      </c>
      <c r="C53" s="20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207"/>
      <c r="AD53" s="208"/>
      <c r="AE53" s="9">
        <f t="shared" si="2"/>
        <v>0</v>
      </c>
      <c r="AF53" s="9">
        <f t="shared" si="3"/>
        <v>0</v>
      </c>
      <c r="AG53" s="89" t="str">
        <f t="shared" si="4"/>
        <v>NIC</v>
      </c>
      <c r="AH53" s="9">
        <f t="shared" si="5"/>
        <v>0</v>
      </c>
    </row>
    <row r="54" spans="1:34">
      <c r="A54" s="2" t="s">
        <v>56</v>
      </c>
      <c r="B54" s="84" t="str">
        <f>INDEX(Soupiska!$A$3:$B$27,MATCH(A54,Soupiska!$A$3:$A$27,0),2)</f>
        <v>D</v>
      </c>
      <c r="C54" s="20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207"/>
      <c r="AD54" s="208"/>
      <c r="AE54" s="9">
        <f t="shared" si="2"/>
        <v>0</v>
      </c>
      <c r="AF54" s="9">
        <f t="shared" si="3"/>
        <v>0</v>
      </c>
      <c r="AG54" s="89" t="str">
        <f t="shared" si="4"/>
        <v>NIC</v>
      </c>
      <c r="AH54" s="9">
        <f t="shared" si="5"/>
        <v>0</v>
      </c>
    </row>
    <row r="55" spans="1:34">
      <c r="A55" s="2" t="s">
        <v>95</v>
      </c>
      <c r="B55" s="84" t="str">
        <f>INDEX(Soupiska!$A$3:$B$27,MATCH(A55,Soupiska!$A$3:$A$27,0),2)</f>
        <v>B</v>
      </c>
      <c r="C55" s="206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207"/>
      <c r="AD55" s="208"/>
      <c r="AE55" s="9">
        <f t="shared" si="2"/>
        <v>0</v>
      </c>
      <c r="AF55" s="9">
        <f t="shared" si="3"/>
        <v>0</v>
      </c>
      <c r="AG55" s="89" t="str">
        <f t="shared" si="4"/>
        <v>NIC</v>
      </c>
      <c r="AH55" s="9">
        <f t="shared" si="5"/>
        <v>0</v>
      </c>
    </row>
    <row r="56" spans="1:34">
      <c r="A56" s="2" t="s">
        <v>57</v>
      </c>
      <c r="B56" s="84" t="str">
        <f>INDEX(Soupiska!$A$3:$B$27,MATCH(A56,Soupiska!$A$3:$A$27,0),2)</f>
        <v>A</v>
      </c>
      <c r="C56" s="206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207"/>
      <c r="AD56" s="208"/>
      <c r="AE56" s="9">
        <f t="shared" si="2"/>
        <v>0</v>
      </c>
      <c r="AF56" s="9">
        <f t="shared" si="3"/>
        <v>0</v>
      </c>
      <c r="AG56" s="89" t="str">
        <f t="shared" si="4"/>
        <v>NIC</v>
      </c>
      <c r="AH56" s="9">
        <f t="shared" si="5"/>
        <v>0</v>
      </c>
    </row>
    <row r="57" spans="1:34">
      <c r="A57" s="2" t="s">
        <v>58</v>
      </c>
      <c r="B57" s="84" t="str">
        <f>INDEX(Soupiska!$A$3:$B$27,MATCH(A57,Soupiska!$A$3:$A$27,0),2)</f>
        <v>D</v>
      </c>
      <c r="C57" s="206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207"/>
      <c r="AD57" s="208"/>
      <c r="AE57" s="9">
        <f t="shared" si="2"/>
        <v>0</v>
      </c>
      <c r="AF57" s="9">
        <f t="shared" si="3"/>
        <v>0</v>
      </c>
      <c r="AG57" s="89" t="str">
        <f t="shared" si="4"/>
        <v>NIC</v>
      </c>
      <c r="AH57" s="9">
        <f t="shared" si="5"/>
        <v>0</v>
      </c>
    </row>
    <row r="58" spans="1:34">
      <c r="A58" s="2" t="s">
        <v>59</v>
      </c>
      <c r="B58" s="84" t="str">
        <f>INDEX(Soupiska!$A$3:$B$27,MATCH(A58,Soupiska!$A$3:$A$27,0),2)</f>
        <v>D</v>
      </c>
      <c r="C58" s="20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207"/>
      <c r="AD58" s="208"/>
      <c r="AE58" s="9">
        <f t="shared" si="2"/>
        <v>0</v>
      </c>
      <c r="AF58" s="9">
        <f t="shared" si="3"/>
        <v>0</v>
      </c>
      <c r="AG58" s="89" t="str">
        <f t="shared" si="4"/>
        <v>NIC</v>
      </c>
      <c r="AH58" s="9">
        <f t="shared" si="5"/>
        <v>0</v>
      </c>
    </row>
    <row r="59" spans="1:34" ht="15.75" thickBot="1">
      <c r="A59" s="3" t="s">
        <v>60</v>
      </c>
      <c r="B59" s="85" t="e">
        <f>INDEX(Soupiska!$A$3:$B$27,MATCH(A59,Soupiska!$A$3:$A$27,0),2)</f>
        <v>#N/A</v>
      </c>
      <c r="C59" s="209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1"/>
      <c r="AD59" s="212"/>
      <c r="AE59" s="10">
        <f t="shared" si="2"/>
        <v>0</v>
      </c>
      <c r="AF59" s="10">
        <f t="shared" si="3"/>
        <v>0</v>
      </c>
      <c r="AG59" s="90" t="str">
        <f t="shared" si="4"/>
        <v>NIC</v>
      </c>
      <c r="AH59" s="10" t="e">
        <f t="shared" si="5"/>
        <v>#N/A</v>
      </c>
    </row>
    <row r="60" spans="1:34" ht="8.25" customHeight="1" thickBot="1"/>
    <row r="61" spans="1:34">
      <c r="A61" s="316"/>
      <c r="B61" s="317"/>
      <c r="C61" s="123"/>
      <c r="D61" s="244" t="s">
        <v>74</v>
      </c>
      <c r="E61" s="318"/>
      <c r="F61" s="318"/>
      <c r="G61" s="318"/>
      <c r="H61" s="318"/>
      <c r="I61" s="318"/>
      <c r="J61" s="318"/>
      <c r="K61" s="318"/>
      <c r="L61" s="318"/>
      <c r="M61" s="320" t="s">
        <v>73</v>
      </c>
      <c r="N61" s="318"/>
      <c r="O61" s="312" t="s">
        <v>78</v>
      </c>
      <c r="P61" s="247"/>
      <c r="Q61" s="247"/>
      <c r="R61" s="252"/>
      <c r="S61" s="95"/>
      <c r="T61" s="95"/>
    </row>
    <row r="62" spans="1:34" ht="15.75" thickBot="1">
      <c r="A62" s="316"/>
      <c r="B62" s="317"/>
      <c r="C62" s="123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50" t="s">
        <v>100</v>
      </c>
      <c r="P62" s="75" t="s">
        <v>99</v>
      </c>
      <c r="Q62" s="60" t="s">
        <v>97</v>
      </c>
      <c r="R62" s="51" t="s">
        <v>98</v>
      </c>
      <c r="S62" s="61"/>
      <c r="T62" s="61"/>
    </row>
    <row r="63" spans="1:34">
      <c r="A63" s="321"/>
      <c r="B63" s="322"/>
      <c r="C63" s="124"/>
      <c r="D63" s="298" t="s">
        <v>80</v>
      </c>
      <c r="E63" s="299"/>
      <c r="F63" s="299"/>
      <c r="G63" s="299"/>
      <c r="H63" s="299"/>
      <c r="I63" s="299"/>
      <c r="J63" s="299"/>
      <c r="K63" s="299"/>
      <c r="L63" s="300"/>
      <c r="M63" s="326">
        <v>6</v>
      </c>
      <c r="N63" s="327"/>
      <c r="O63" s="199">
        <v>3.5</v>
      </c>
      <c r="P63" s="200">
        <v>3.5</v>
      </c>
      <c r="Q63" s="21">
        <v>8</v>
      </c>
      <c r="R63" s="44">
        <v>15</v>
      </c>
      <c r="S63" s="62"/>
      <c r="T63" s="62"/>
    </row>
    <row r="64" spans="1:34" ht="21.75" thickBot="1">
      <c r="A64" s="364" t="s">
        <v>119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</row>
    <row r="65" spans="1:34" s="109" customFormat="1" ht="12" thickBot="1">
      <c r="A65" s="130" t="s">
        <v>36</v>
      </c>
      <c r="B65" s="131" t="s">
        <v>96</v>
      </c>
      <c r="C65" s="131"/>
      <c r="D65" s="132" t="s">
        <v>1</v>
      </c>
      <c r="E65" s="132" t="s">
        <v>2</v>
      </c>
      <c r="F65" s="132" t="s">
        <v>3</v>
      </c>
      <c r="G65" s="132" t="s">
        <v>4</v>
      </c>
      <c r="H65" s="132" t="s">
        <v>5</v>
      </c>
      <c r="I65" s="132" t="s">
        <v>6</v>
      </c>
      <c r="J65" s="132" t="s">
        <v>7</v>
      </c>
      <c r="K65" s="132" t="s">
        <v>8</v>
      </c>
      <c r="L65" s="132" t="s">
        <v>9</v>
      </c>
      <c r="M65" s="132" t="s">
        <v>10</v>
      </c>
      <c r="N65" s="132" t="s">
        <v>11</v>
      </c>
      <c r="O65" s="132" t="s">
        <v>12</v>
      </c>
      <c r="P65" s="132" t="s">
        <v>13</v>
      </c>
      <c r="Q65" s="132" t="s">
        <v>14</v>
      </c>
      <c r="R65" s="132" t="s">
        <v>15</v>
      </c>
      <c r="S65" s="132" t="s">
        <v>16</v>
      </c>
      <c r="T65" s="132" t="s">
        <v>17</v>
      </c>
      <c r="U65" s="132" t="s">
        <v>18</v>
      </c>
      <c r="V65" s="132" t="s">
        <v>19</v>
      </c>
      <c r="W65" s="132" t="s">
        <v>20</v>
      </c>
      <c r="X65" s="133" t="s">
        <v>21</v>
      </c>
      <c r="Y65" s="132" t="s">
        <v>22</v>
      </c>
      <c r="Z65" s="132" t="s">
        <v>111</v>
      </c>
      <c r="AA65" s="132" t="s">
        <v>111</v>
      </c>
      <c r="AB65" s="132" t="s">
        <v>112</v>
      </c>
      <c r="AC65" s="134" t="s">
        <v>112</v>
      </c>
      <c r="AD65" s="135" t="s">
        <v>70</v>
      </c>
      <c r="AE65" s="136" t="s">
        <v>113</v>
      </c>
      <c r="AF65" s="136" t="s">
        <v>109</v>
      </c>
      <c r="AG65" s="137" t="s">
        <v>114</v>
      </c>
      <c r="AH65" s="136" t="s">
        <v>61</v>
      </c>
    </row>
    <row r="66" spans="1:34" ht="11.1" customHeight="1">
      <c r="A66" s="365" t="s">
        <v>37</v>
      </c>
      <c r="B66" s="334" t="e">
        <f>INDEX(Soupiska!$A$3:$B$27,MATCH(A66,Soupiska!$A$3:$A$27,0),2)</f>
        <v>#N/A</v>
      </c>
      <c r="C66" s="140" t="s">
        <v>99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2">
        <f>COUNTA(D66:AC66)</f>
        <v>0</v>
      </c>
      <c r="AF66" s="142">
        <f>SUM(D66:AC66)</f>
        <v>0</v>
      </c>
      <c r="AG66" s="145" t="str">
        <f>IF(ISERROR(AF66/AE66),"NIC",AF66/AE66)</f>
        <v>NIC</v>
      </c>
      <c r="AH66" s="339" t="e">
        <f>CEILING(AD66+AD68+(AE66*$M$138)+(AE68*$M$138)+(AF66*(LOOKUP(B66,$O$137:$R$137,$O$138:$R$138)))+(AF68*(LOOKUP(B66,$O$137:$R$137,$O$138:$R$138))),1)</f>
        <v>#N/A</v>
      </c>
    </row>
    <row r="67" spans="1:34" ht="11.1" customHeight="1">
      <c r="A67" s="348"/>
      <c r="B67" s="335"/>
      <c r="C67" s="215" t="s">
        <v>97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7">
        <f>COUNTA(D67:AC67)</f>
        <v>0</v>
      </c>
      <c r="AF67" s="217">
        <f>SUM(D67:AC67)</f>
        <v>0</v>
      </c>
      <c r="AG67" s="218" t="str">
        <f>IF(ISERROR(AF67/AE67),"NIC",AF67/AE67)</f>
        <v>NIC</v>
      </c>
      <c r="AH67" s="340"/>
    </row>
    <row r="68" spans="1:34" ht="10.5" customHeight="1">
      <c r="A68" s="349"/>
      <c r="B68" s="336"/>
      <c r="C68" s="148" t="s">
        <v>98</v>
      </c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13">
        <f t="shared" ref="AE68" si="8">COUNTA(D68:AC68)</f>
        <v>0</v>
      </c>
      <c r="AF68" s="213">
        <f t="shared" ref="AF68" si="9">SUM(D68:AC68)</f>
        <v>0</v>
      </c>
      <c r="AG68" s="214" t="str">
        <f t="shared" ref="AG68" si="10">IF(ISERROR(AF68/AE68),"NIC",AF68/AE68)</f>
        <v>NIC</v>
      </c>
      <c r="AH68" s="341"/>
    </row>
    <row r="69" spans="1:34" ht="11.1" customHeight="1">
      <c r="A69" s="342" t="s">
        <v>38</v>
      </c>
      <c r="B69" s="337" t="str">
        <f>INDEX(Soupiska!$A$3:$B$27,MATCH(A69,Soupiska!$A$3:$A$27,0),2)</f>
        <v>D</v>
      </c>
      <c r="C69" s="143" t="s">
        <v>99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144">
        <f>COUNTA(D69:AC69)</f>
        <v>0</v>
      </c>
      <c r="AF69" s="144">
        <f>SUM(D69:AC69)</f>
        <v>0</v>
      </c>
      <c r="AG69" s="147" t="str">
        <f>IF(ISERROR(AF69/AE69),"NIC",AF69/AE69)</f>
        <v>NIC</v>
      </c>
      <c r="AH69" s="345">
        <f>CEILING(AD69+AD71+(AE69*$M$138)+(AE71*$M$138)+(AF69*(LOOKUP(B69,$O$137:$R$137,$O$138:$R$138)))+(AF71*(LOOKUP(B69,$O$137:$R$137,$O$138:$R$138))),1)</f>
        <v>0</v>
      </c>
    </row>
    <row r="70" spans="1:34" ht="11.1" customHeight="1">
      <c r="A70" s="343"/>
      <c r="B70" s="335"/>
      <c r="C70" s="215" t="s">
        <v>97</v>
      </c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7">
        <f>COUNTA(D70:AC70)</f>
        <v>0</v>
      </c>
      <c r="AF70" s="217">
        <f>SUM(D70:AC70)</f>
        <v>0</v>
      </c>
      <c r="AG70" s="218" t="str">
        <f>IF(ISERROR(AF70/AE70),"NIC",AF70/AE70)</f>
        <v>NIC</v>
      </c>
      <c r="AH70" s="346"/>
    </row>
    <row r="71" spans="1:34" ht="11.1" customHeight="1">
      <c r="A71" s="350"/>
      <c r="B71" s="338"/>
      <c r="C71" s="139" t="s">
        <v>98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138">
        <f t="shared" ref="AE71" si="11">COUNTA(D71:AC71)</f>
        <v>0</v>
      </c>
      <c r="AF71" s="138">
        <f t="shared" ref="AF71" si="12">SUM(D71:AC71)</f>
        <v>0</v>
      </c>
      <c r="AG71" s="146" t="str">
        <f t="shared" ref="AG71" si="13">IF(ISERROR(AF71/AE71),"NIC",AF71/AE71)</f>
        <v>NIC</v>
      </c>
      <c r="AH71" s="338"/>
    </row>
    <row r="72" spans="1:34" ht="11.1" customHeight="1">
      <c r="A72" s="347" t="s">
        <v>124</v>
      </c>
      <c r="B72" s="335" t="str">
        <f>INDEX(Soupiska!$A$3:$B$27,MATCH(A72,Soupiska!$A$3:$A$27,0),2)</f>
        <v>B</v>
      </c>
      <c r="C72" s="219" t="s">
        <v>99</v>
      </c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1">
        <f>COUNTA(D72:AC72)</f>
        <v>0</v>
      </c>
      <c r="AF72" s="221">
        <f>SUM(D72:AC72)</f>
        <v>0</v>
      </c>
      <c r="AG72" s="222" t="str">
        <f>IF(ISERROR(AF72/AE72),"NIC",AF72/AE72)</f>
        <v>NIC</v>
      </c>
      <c r="AH72" s="340">
        <f>CEILING(AD72+AD74+(AE72*$M$138)+(AE74*$M$138)+(AF72*(LOOKUP(B72,$O$137:$R$137,$O$138:$R$138)))+(AF74*(LOOKUP(B72,$O$137:$R$137,$O$138:$R$138))),1)</f>
        <v>0</v>
      </c>
    </row>
    <row r="73" spans="1:34" ht="11.1" customHeight="1">
      <c r="A73" s="348"/>
      <c r="B73" s="335"/>
      <c r="C73" s="215" t="s">
        <v>97</v>
      </c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7">
        <f>COUNTA(D73:AC73)</f>
        <v>0</v>
      </c>
      <c r="AF73" s="217">
        <f>SUM(D73:AC73)</f>
        <v>0</v>
      </c>
      <c r="AG73" s="218" t="str">
        <f>IF(ISERROR(AF73/AE73),"NIC",AF73/AE73)</f>
        <v>NIC</v>
      </c>
      <c r="AH73" s="340"/>
    </row>
    <row r="74" spans="1:34" ht="11.1" customHeight="1">
      <c r="A74" s="349"/>
      <c r="B74" s="336"/>
      <c r="C74" s="148" t="s">
        <v>98</v>
      </c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13">
        <f t="shared" ref="AE74" si="14">COUNTA(D74:AC74)</f>
        <v>0</v>
      </c>
      <c r="AF74" s="213">
        <f t="shared" ref="AF74" si="15">SUM(D74:AC74)</f>
        <v>0</v>
      </c>
      <c r="AG74" s="214" t="str">
        <f t="shared" ref="AG74" si="16">IF(ISERROR(AF74/AE74),"NIC",AF74/AE74)</f>
        <v>NIC</v>
      </c>
      <c r="AH74" s="341"/>
    </row>
    <row r="75" spans="1:34" ht="11.1" customHeight="1">
      <c r="A75" s="342" t="s">
        <v>39</v>
      </c>
      <c r="B75" s="337" t="str">
        <f>INDEX(Soupiska!$A$3:$B$27,MATCH(A75,Soupiska!$A$3:$A$27,0),2)</f>
        <v>B</v>
      </c>
      <c r="C75" s="143" t="s">
        <v>99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144">
        <f>COUNTA(D75:AC75)</f>
        <v>0</v>
      </c>
      <c r="AF75" s="144">
        <f>SUM(D75:AC75)</f>
        <v>0</v>
      </c>
      <c r="AG75" s="147" t="str">
        <f>IF(ISERROR(AF75/AE75),"NIC",AF75/AE75)</f>
        <v>NIC</v>
      </c>
      <c r="AH75" s="345">
        <f>CEILING(AD75+AD77+(AE75*$M$138)+(AE77*$M$138)+(AF75*(LOOKUP(B75,$O$137:$R$137,$O$138:$R$138)))+(AF77*(LOOKUP(B75,$O$137:$R$137,$O$138:$R$138))),1)</f>
        <v>0</v>
      </c>
    </row>
    <row r="76" spans="1:34" ht="11.1" customHeight="1">
      <c r="A76" s="343"/>
      <c r="B76" s="335"/>
      <c r="C76" s="215" t="s">
        <v>97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7">
        <f>COUNTA(D76:AC76)</f>
        <v>0</v>
      </c>
      <c r="AF76" s="217">
        <f>SUM(D76:AC76)</f>
        <v>0</v>
      </c>
      <c r="AG76" s="218" t="str">
        <f>IF(ISERROR(AF76/AE76),"NIC",AF76/AE76)</f>
        <v>NIC</v>
      </c>
      <c r="AH76" s="346"/>
    </row>
    <row r="77" spans="1:34" ht="11.1" customHeight="1">
      <c r="A77" s="350"/>
      <c r="B77" s="338"/>
      <c r="C77" s="139" t="s">
        <v>98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138">
        <f t="shared" ref="AE77" si="17">COUNTA(D77:AC77)</f>
        <v>0</v>
      </c>
      <c r="AF77" s="138">
        <f t="shared" ref="AF77" si="18">SUM(D77:AC77)</f>
        <v>0</v>
      </c>
      <c r="AG77" s="146" t="str">
        <f t="shared" ref="AG77" si="19">IF(ISERROR(AF77/AE77),"NIC",AF77/AE77)</f>
        <v>NIC</v>
      </c>
      <c r="AH77" s="338"/>
    </row>
    <row r="78" spans="1:34" ht="11.1" customHeight="1">
      <c r="A78" s="347" t="s">
        <v>40</v>
      </c>
      <c r="B78" s="335" t="str">
        <f>INDEX(Soupiska!$A$3:$B$27,MATCH(A78,Soupiska!$A$3:$A$27,0),2)</f>
        <v>D</v>
      </c>
      <c r="C78" s="219" t="s">
        <v>99</v>
      </c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1">
        <f>COUNTA(D78:AC78)</f>
        <v>0</v>
      </c>
      <c r="AF78" s="221">
        <f>SUM(D78:AC78)</f>
        <v>0</v>
      </c>
      <c r="AG78" s="222" t="str">
        <f>IF(ISERROR(AF78/AE78),"NIC",AF78/AE78)</f>
        <v>NIC</v>
      </c>
      <c r="AH78" s="340">
        <f>CEILING(AD78+AD80+(AE78*$M$138)+(AE80*$M$138)+(AF78*(LOOKUP(B78,$O$137:$R$137,$O$138:$R$138)))+(AF80*(LOOKUP(B78,$O$137:$R$137,$O$138:$R$138))),1)</f>
        <v>0</v>
      </c>
    </row>
    <row r="79" spans="1:34" ht="11.1" customHeight="1">
      <c r="A79" s="348"/>
      <c r="B79" s="335"/>
      <c r="C79" s="215" t="s">
        <v>97</v>
      </c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7">
        <f>COUNTA(D79:AC79)</f>
        <v>0</v>
      </c>
      <c r="AF79" s="217">
        <f>SUM(D79:AC79)</f>
        <v>0</v>
      </c>
      <c r="AG79" s="218" t="str">
        <f>IF(ISERROR(AF79/AE79),"NIC",AF79/AE79)</f>
        <v>NIC</v>
      </c>
      <c r="AH79" s="340"/>
    </row>
    <row r="80" spans="1:34" ht="11.1" customHeight="1">
      <c r="A80" s="349"/>
      <c r="B80" s="336"/>
      <c r="C80" s="148" t="s">
        <v>98</v>
      </c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13">
        <f t="shared" ref="AE80" si="20">COUNTA(D80:AC80)</f>
        <v>0</v>
      </c>
      <c r="AF80" s="213">
        <f t="shared" ref="AF80" si="21">SUM(D80:AC80)</f>
        <v>0</v>
      </c>
      <c r="AG80" s="214" t="str">
        <f t="shared" ref="AG80" si="22">IF(ISERROR(AF80/AE80),"NIC",AF80/AE80)</f>
        <v>NIC</v>
      </c>
      <c r="AH80" s="341"/>
    </row>
    <row r="81" spans="1:34" ht="11.1" customHeight="1">
      <c r="A81" s="342" t="s">
        <v>41</v>
      </c>
      <c r="B81" s="337" t="str">
        <f>INDEX(Soupiska!$A$3:$B$27,MATCH(A81,Soupiska!$A$3:$A$27,0),2)</f>
        <v>D</v>
      </c>
      <c r="C81" s="143" t="s">
        <v>99</v>
      </c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144">
        <f>COUNTA(D81:AC81)</f>
        <v>0</v>
      </c>
      <c r="AF81" s="144">
        <f>SUM(D81:AC81)</f>
        <v>0</v>
      </c>
      <c r="AG81" s="147" t="str">
        <f>IF(ISERROR(AF81/AE81),"NIC",AF81/AE81)</f>
        <v>NIC</v>
      </c>
      <c r="AH81" s="345">
        <f>CEILING(AD81+AD83+(AE81*$M$138)+(AE83*$M$138)+(AF81*(LOOKUP(B81,$O$137:$R$137,$O$138:$R$138)))+(AF83*(LOOKUP(B81,$O$137:$R$137,$O$138:$R$138))),1)</f>
        <v>0</v>
      </c>
    </row>
    <row r="82" spans="1:34" ht="11.1" customHeight="1">
      <c r="A82" s="343"/>
      <c r="B82" s="335"/>
      <c r="C82" s="215" t="s">
        <v>97</v>
      </c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7">
        <f>COUNTA(D82:AC82)</f>
        <v>0</v>
      </c>
      <c r="AF82" s="217">
        <f>SUM(D82:AC82)</f>
        <v>0</v>
      </c>
      <c r="AG82" s="218" t="str">
        <f>IF(ISERROR(AF82/AE82),"NIC",AF82/AE82)</f>
        <v>NIC</v>
      </c>
      <c r="AH82" s="346"/>
    </row>
    <row r="83" spans="1:34" ht="11.1" customHeight="1">
      <c r="A83" s="350"/>
      <c r="B83" s="338"/>
      <c r="C83" s="139" t="s">
        <v>98</v>
      </c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138">
        <f t="shared" ref="AE83" si="23">COUNTA(D83:AC83)</f>
        <v>0</v>
      </c>
      <c r="AF83" s="138">
        <f t="shared" ref="AF83" si="24">SUM(D83:AC83)</f>
        <v>0</v>
      </c>
      <c r="AG83" s="146" t="str">
        <f t="shared" ref="AG83" si="25">IF(ISERROR(AF83/AE83),"NIC",AF83/AE83)</f>
        <v>NIC</v>
      </c>
      <c r="AH83" s="338"/>
    </row>
    <row r="84" spans="1:34" ht="11.1" customHeight="1">
      <c r="A84" s="342" t="s">
        <v>43</v>
      </c>
      <c r="B84" s="337" t="str">
        <f>INDEX(Soupiska!$A$3:$B$27,MATCH(A84,Soupiska!$A$3:$A$27,0),2)</f>
        <v>B</v>
      </c>
      <c r="C84" s="143" t="s">
        <v>99</v>
      </c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144">
        <f>COUNTA(D84:AC84)</f>
        <v>0</v>
      </c>
      <c r="AF84" s="144">
        <f>SUM(D84:AC84)</f>
        <v>0</v>
      </c>
      <c r="AG84" s="147" t="str">
        <f>IF(ISERROR(AF84/AE84),"NIC",AF84/AE84)</f>
        <v>NIC</v>
      </c>
      <c r="AH84" s="345">
        <f>CEILING(AD84+AD86+(AE84*$M$138)+(AE86*$M$138)+(AF84*(LOOKUP(B84,$O$137:$R$137,$O$138:$R$138)))+(AF86*(LOOKUP(B84,$O$137:$R$137,$O$138:$R$138))),1)</f>
        <v>0</v>
      </c>
    </row>
    <row r="85" spans="1:34" ht="11.1" customHeight="1">
      <c r="A85" s="343"/>
      <c r="B85" s="335"/>
      <c r="C85" s="215" t="s">
        <v>97</v>
      </c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7">
        <f>COUNTA(D85:AC85)</f>
        <v>0</v>
      </c>
      <c r="AF85" s="217">
        <f>SUM(D85:AC85)</f>
        <v>0</v>
      </c>
      <c r="AG85" s="218" t="str">
        <f>IF(ISERROR(AF85/AE85),"NIC",AF85/AE85)</f>
        <v>NIC</v>
      </c>
      <c r="AH85" s="346"/>
    </row>
    <row r="86" spans="1:34" ht="11.1" customHeight="1">
      <c r="A86" s="350"/>
      <c r="B86" s="338"/>
      <c r="C86" s="139" t="s">
        <v>98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138">
        <f t="shared" ref="AE86" si="26">COUNTA(D86:AC86)</f>
        <v>0</v>
      </c>
      <c r="AF86" s="138">
        <f t="shared" ref="AF86" si="27">SUM(D86:AC86)</f>
        <v>0</v>
      </c>
      <c r="AG86" s="146" t="str">
        <f t="shared" ref="AG86" si="28">IF(ISERROR(AF86/AE86),"NIC",AF86/AE86)</f>
        <v>NIC</v>
      </c>
      <c r="AH86" s="338"/>
    </row>
    <row r="87" spans="1:34" ht="11.1" customHeight="1">
      <c r="A87" s="342" t="s">
        <v>44</v>
      </c>
      <c r="B87" s="337" t="str">
        <f>INDEX(Soupiska!$A$3:$B$27,MATCH(A87,Soupiska!$A$3:$A$27,0),2)</f>
        <v>C</v>
      </c>
      <c r="C87" s="143" t="s">
        <v>99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144">
        <f>COUNTA(D87:AC87)</f>
        <v>0</v>
      </c>
      <c r="AF87" s="144">
        <f>SUM(D87:AC87)</f>
        <v>0</v>
      </c>
      <c r="AG87" s="147" t="str">
        <f>IF(ISERROR(AF87/AE87),"NIC",AF87/AE87)</f>
        <v>NIC</v>
      </c>
      <c r="AH87" s="345">
        <f>CEILING(AD87+AD89+(AE87*$M$138)+(AE89*$M$138)+(AF87*(LOOKUP(B87,$O$137:$R$137,$O$138:$R$138)))+(AF89*(LOOKUP(B87,$O$137:$R$137,$O$138:$R$138))),1)</f>
        <v>0</v>
      </c>
    </row>
    <row r="88" spans="1:34" ht="11.1" customHeight="1">
      <c r="A88" s="343"/>
      <c r="B88" s="335"/>
      <c r="C88" s="215" t="s">
        <v>97</v>
      </c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7">
        <f>COUNTA(D88:AC88)</f>
        <v>0</v>
      </c>
      <c r="AF88" s="217">
        <f>SUM(D88:AC88)</f>
        <v>0</v>
      </c>
      <c r="AG88" s="218" t="str">
        <f>IF(ISERROR(AF88/AE88),"NIC",AF88/AE88)</f>
        <v>NIC</v>
      </c>
      <c r="AH88" s="346"/>
    </row>
    <row r="89" spans="1:34" ht="11.1" customHeight="1">
      <c r="A89" s="350"/>
      <c r="B89" s="338"/>
      <c r="C89" s="139" t="s">
        <v>98</v>
      </c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138">
        <f t="shared" ref="AE89" si="29">COUNTA(D89:AC89)</f>
        <v>0</v>
      </c>
      <c r="AF89" s="138">
        <f t="shared" ref="AF89" si="30">SUM(D89:AC89)</f>
        <v>0</v>
      </c>
      <c r="AG89" s="146" t="str">
        <f t="shared" ref="AG89" si="31">IF(ISERROR(AF89/AE89),"NIC",AF89/AE89)</f>
        <v>NIC</v>
      </c>
      <c r="AH89" s="338"/>
    </row>
    <row r="90" spans="1:34" ht="11.1" customHeight="1">
      <c r="A90" s="342" t="s">
        <v>45</v>
      </c>
      <c r="B90" s="337" t="str">
        <f>INDEX(Soupiska!$A$3:$B$27,MATCH(A90,Soupiska!$A$3:$A$27,0),2)</f>
        <v>B</v>
      </c>
      <c r="C90" s="143" t="s">
        <v>99</v>
      </c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144">
        <f>COUNTA(D90:AC90)</f>
        <v>0</v>
      </c>
      <c r="AF90" s="144">
        <f>SUM(D90:AC90)</f>
        <v>0</v>
      </c>
      <c r="AG90" s="147" t="str">
        <f>IF(ISERROR(AF90/AE90),"NIC",AF90/AE90)</f>
        <v>NIC</v>
      </c>
      <c r="AH90" s="345">
        <f>CEILING(AD90+AD92+(AE90*$M$138)+(AE92*$M$138)+(AF90*(LOOKUP(B90,$O$137:$R$137,$O$138:$R$138)))+(AF92*(LOOKUP(B90,$O$137:$R$137,$O$138:$R$138))),1)</f>
        <v>0</v>
      </c>
    </row>
    <row r="91" spans="1:34" ht="11.1" customHeight="1">
      <c r="A91" s="343"/>
      <c r="B91" s="335"/>
      <c r="C91" s="215" t="s">
        <v>97</v>
      </c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7">
        <f>COUNTA(D91:AC91)</f>
        <v>0</v>
      </c>
      <c r="AF91" s="217">
        <f>SUM(D91:AC91)</f>
        <v>0</v>
      </c>
      <c r="AG91" s="218" t="str">
        <f>IF(ISERROR(AF91/AE91),"NIC",AF91/AE91)</f>
        <v>NIC</v>
      </c>
      <c r="AH91" s="346"/>
    </row>
    <row r="92" spans="1:34" ht="11.1" customHeight="1">
      <c r="A92" s="350"/>
      <c r="B92" s="338"/>
      <c r="C92" s="139" t="s">
        <v>98</v>
      </c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138">
        <f t="shared" ref="AE92" si="32">COUNTA(D92:AC92)</f>
        <v>0</v>
      </c>
      <c r="AF92" s="138">
        <f t="shared" ref="AF92" si="33">SUM(D92:AC92)</f>
        <v>0</v>
      </c>
      <c r="AG92" s="146" t="str">
        <f t="shared" ref="AG92" si="34">IF(ISERROR(AF92/AE92),"NIC",AF92/AE92)</f>
        <v>NIC</v>
      </c>
      <c r="AH92" s="338"/>
    </row>
    <row r="93" spans="1:34" ht="11.1" customHeight="1">
      <c r="A93" s="342" t="s">
        <v>46</v>
      </c>
      <c r="B93" s="337" t="str">
        <f>INDEX(Soupiska!$A$3:$B$27,MATCH(A93,Soupiska!$A$3:$A$27,0),2)</f>
        <v>C</v>
      </c>
      <c r="C93" s="143" t="s">
        <v>99</v>
      </c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144">
        <f>COUNTA(D93:AC93)</f>
        <v>0</v>
      </c>
      <c r="AF93" s="144">
        <f>SUM(D93:AC93)</f>
        <v>0</v>
      </c>
      <c r="AG93" s="147" t="str">
        <f>IF(ISERROR(AF93/AE93),"NIC",AF93/AE93)</f>
        <v>NIC</v>
      </c>
      <c r="AH93" s="345">
        <f>CEILING(AD93+AD95+(AE93*$M$138)+(AE95*$M$138)+(AF93*(LOOKUP(B93,$O$137:$R$137,$O$138:$R$138)))+(AF95*(LOOKUP(B93,$O$137:$R$137,$O$138:$R$138))),1)</f>
        <v>0</v>
      </c>
    </row>
    <row r="94" spans="1:34" ht="11.1" customHeight="1">
      <c r="A94" s="343"/>
      <c r="B94" s="335"/>
      <c r="C94" s="215" t="s">
        <v>97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7">
        <f>COUNTA(D94:AC94)</f>
        <v>0</v>
      </c>
      <c r="AF94" s="217">
        <f>SUM(D94:AC94)</f>
        <v>0</v>
      </c>
      <c r="AG94" s="218" t="str">
        <f>IF(ISERROR(AF94/AE94),"NIC",AF94/AE94)</f>
        <v>NIC</v>
      </c>
      <c r="AH94" s="346"/>
    </row>
    <row r="95" spans="1:34" ht="11.1" customHeight="1">
      <c r="A95" s="344"/>
      <c r="B95" s="338"/>
      <c r="C95" s="139" t="s">
        <v>98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138">
        <f t="shared" ref="AE95" si="35">COUNTA(D95:AC95)</f>
        <v>0</v>
      </c>
      <c r="AF95" s="138">
        <f t="shared" ref="AF95" si="36">SUM(D95:AC95)</f>
        <v>0</v>
      </c>
      <c r="AG95" s="146" t="str">
        <f t="shared" ref="AG95" si="37">IF(ISERROR(AF95/AE95),"NIC",AF95/AE95)</f>
        <v>NIC</v>
      </c>
      <c r="AH95" s="338"/>
    </row>
    <row r="96" spans="1:34" ht="11.1" customHeight="1">
      <c r="A96" s="342" t="s">
        <v>47</v>
      </c>
      <c r="B96" s="337" t="e">
        <f>INDEX(Soupiska!$A$3:$B$27,MATCH(A96,Soupiska!$A$3:$A$27,0),2)</f>
        <v>#N/A</v>
      </c>
      <c r="C96" s="143" t="s">
        <v>99</v>
      </c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144">
        <f>COUNTA(D96:AC96)</f>
        <v>0</v>
      </c>
      <c r="AF96" s="144">
        <f>SUM(D96:AC96)</f>
        <v>0</v>
      </c>
      <c r="AG96" s="147" t="str">
        <f>IF(ISERROR(AF96/AE96),"NIC",AF96/AE96)</f>
        <v>NIC</v>
      </c>
      <c r="AH96" s="345" t="e">
        <f>CEILING(AD96+AD98+(AE96*$M$138)+(AE98*$M$138)+(AF96*(LOOKUP(B96,$O$137:$R$137,$O$138:$R$138)))+(AF98*(LOOKUP(B96,$O$137:$R$137,$O$138:$R$138))),1)</f>
        <v>#N/A</v>
      </c>
    </row>
    <row r="97" spans="1:34" ht="11.1" customHeight="1">
      <c r="A97" s="343"/>
      <c r="B97" s="335"/>
      <c r="C97" s="215" t="s">
        <v>97</v>
      </c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7">
        <f>COUNTA(D97:AC97)</f>
        <v>0</v>
      </c>
      <c r="AF97" s="217">
        <f>SUM(D97:AC97)</f>
        <v>0</v>
      </c>
      <c r="AG97" s="218" t="str">
        <f>IF(ISERROR(AF97/AE97),"NIC",AF97/AE97)</f>
        <v>NIC</v>
      </c>
      <c r="AH97" s="346"/>
    </row>
    <row r="98" spans="1:34" ht="11.1" customHeight="1">
      <c r="A98" s="344"/>
      <c r="B98" s="338"/>
      <c r="C98" s="139" t="s">
        <v>98</v>
      </c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138">
        <f t="shared" ref="AE98" si="38">COUNTA(D98:AC98)</f>
        <v>0</v>
      </c>
      <c r="AF98" s="138">
        <f t="shared" ref="AF98" si="39">SUM(D98:AC98)</f>
        <v>0</v>
      </c>
      <c r="AG98" s="146" t="str">
        <f t="shared" ref="AG98" si="40">IF(ISERROR(AF98/AE98),"NIC",AF98/AE98)</f>
        <v>NIC</v>
      </c>
      <c r="AH98" s="338"/>
    </row>
    <row r="99" spans="1:34" ht="11.1" customHeight="1">
      <c r="A99" s="342" t="s">
        <v>49</v>
      </c>
      <c r="B99" s="337" t="str">
        <f>INDEX(Soupiska!$A$3:$B$27,MATCH(A99,Soupiska!$A$3:$A$27,0),2)</f>
        <v>D</v>
      </c>
      <c r="C99" s="143" t="s">
        <v>99</v>
      </c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144">
        <f>COUNTA(D99:AC99)</f>
        <v>0</v>
      </c>
      <c r="AF99" s="144">
        <f>SUM(D99:AC99)</f>
        <v>0</v>
      </c>
      <c r="AG99" s="147" t="str">
        <f>IF(ISERROR(AF99/AE99),"NIC",AF99/AE99)</f>
        <v>NIC</v>
      </c>
      <c r="AH99" s="345">
        <f>CEILING(AD99+AD101+(AE99*$M$138)+(AE101*$M$138)+(AF99*(LOOKUP(B99,$O$137:$R$137,$O$138:$R$138)))+(AF101*(LOOKUP(B99,$O$137:$R$137,$O$138:$R$138))),1)</f>
        <v>0</v>
      </c>
    </row>
    <row r="100" spans="1:34" ht="11.1" customHeight="1">
      <c r="A100" s="343"/>
      <c r="B100" s="335"/>
      <c r="C100" s="215" t="s">
        <v>97</v>
      </c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7">
        <f>COUNTA(D100:AC100)</f>
        <v>0</v>
      </c>
      <c r="AF100" s="217">
        <f>SUM(D100:AC100)</f>
        <v>0</v>
      </c>
      <c r="AG100" s="218" t="str">
        <f>IF(ISERROR(AF100/AE100),"NIC",AF100/AE100)</f>
        <v>NIC</v>
      </c>
      <c r="AH100" s="346"/>
    </row>
    <row r="101" spans="1:34" ht="11.1" customHeight="1">
      <c r="A101" s="344"/>
      <c r="B101" s="338"/>
      <c r="C101" s="139" t="s">
        <v>98</v>
      </c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138">
        <f t="shared" ref="AE101" si="41">COUNTA(D101:AC101)</f>
        <v>0</v>
      </c>
      <c r="AF101" s="138">
        <f t="shared" ref="AF101" si="42">SUM(D101:AC101)</f>
        <v>0</v>
      </c>
      <c r="AG101" s="146" t="str">
        <f t="shared" ref="AG101" si="43">IF(ISERROR(AF101/AE101),"NIC",AF101/AE101)</f>
        <v>NIC</v>
      </c>
      <c r="AH101" s="338"/>
    </row>
    <row r="102" spans="1:34" ht="11.1" customHeight="1">
      <c r="A102" s="342" t="s">
        <v>50</v>
      </c>
      <c r="B102" s="337" t="str">
        <f>INDEX(Soupiska!$A$3:$B$27,MATCH(A102,Soupiska!$A$3:$A$27,0),2)</f>
        <v>D</v>
      </c>
      <c r="C102" s="143" t="s">
        <v>99</v>
      </c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144">
        <f>COUNTA(D102:AC102)</f>
        <v>0</v>
      </c>
      <c r="AF102" s="144">
        <f>SUM(D102:AC102)</f>
        <v>0</v>
      </c>
      <c r="AG102" s="147" t="str">
        <f>IF(ISERROR(AF102/AE102),"NIC",AF102/AE102)</f>
        <v>NIC</v>
      </c>
      <c r="AH102" s="345">
        <f>CEILING(AD102+AD104+(AE102*$M$138)+(AE104*$M$138)+(AF102*(LOOKUP(B102,$O$137:$R$137,$O$138:$R$138)))+(AF104*(LOOKUP(B102,$O$137:$R$137,$O$138:$R$138))),1)</f>
        <v>0</v>
      </c>
    </row>
    <row r="103" spans="1:34" ht="11.1" customHeight="1">
      <c r="A103" s="343"/>
      <c r="B103" s="335"/>
      <c r="C103" s="215" t="s">
        <v>97</v>
      </c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7">
        <f>COUNTA(D103:AC103)</f>
        <v>0</v>
      </c>
      <c r="AF103" s="217">
        <f>SUM(D103:AC103)</f>
        <v>0</v>
      </c>
      <c r="AG103" s="218" t="str">
        <f>IF(ISERROR(AF103/AE103),"NIC",AF103/AE103)</f>
        <v>NIC</v>
      </c>
      <c r="AH103" s="346"/>
    </row>
    <row r="104" spans="1:34" ht="11.1" customHeight="1">
      <c r="A104" s="344"/>
      <c r="B104" s="338"/>
      <c r="C104" s="139" t="s">
        <v>98</v>
      </c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138">
        <f t="shared" ref="AE104" si="44">COUNTA(D104:AC104)</f>
        <v>0</v>
      </c>
      <c r="AF104" s="138">
        <f t="shared" ref="AF104" si="45">SUM(D104:AC104)</f>
        <v>0</v>
      </c>
      <c r="AG104" s="146" t="str">
        <f t="shared" ref="AG104" si="46">IF(ISERROR(AF104/AE104),"NIC",AF104/AE104)</f>
        <v>NIC</v>
      </c>
      <c r="AH104" s="338"/>
    </row>
    <row r="105" spans="1:34" ht="11.1" customHeight="1">
      <c r="A105" s="342" t="s">
        <v>122</v>
      </c>
      <c r="B105" s="337" t="str">
        <f>INDEX(Soupiska!$A$3:$B$27,MATCH(A105,Soupiska!$A$3:$A$27,0),2)</f>
        <v>D</v>
      </c>
      <c r="C105" s="143" t="s">
        <v>99</v>
      </c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144">
        <f>COUNTA(D105:AC105)</f>
        <v>0</v>
      </c>
      <c r="AF105" s="144">
        <f>SUM(D105:AC105)</f>
        <v>0</v>
      </c>
      <c r="AG105" s="147" t="str">
        <f>IF(ISERROR(AF105/AE105),"NIC",AF105/AE105)</f>
        <v>NIC</v>
      </c>
      <c r="AH105" s="345">
        <f>CEILING(AD105+AD107+(AE105*$M$138)+(AE107*$M$138)+(AF105*(LOOKUP(B105,$O$137:$R$137,$O$138:$R$138)))+(AF107*(LOOKUP(B105,$O$137:$R$137,$O$138:$R$138))),1)</f>
        <v>0</v>
      </c>
    </row>
    <row r="106" spans="1:34" ht="11.1" customHeight="1">
      <c r="A106" s="343"/>
      <c r="B106" s="335"/>
      <c r="C106" s="215" t="s">
        <v>97</v>
      </c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7">
        <f>COUNTA(D106:AC106)</f>
        <v>0</v>
      </c>
      <c r="AF106" s="217">
        <f>SUM(D106:AC106)</f>
        <v>0</v>
      </c>
      <c r="AG106" s="218" t="str">
        <f>IF(ISERROR(AF106/AE106),"NIC",AF106/AE106)</f>
        <v>NIC</v>
      </c>
      <c r="AH106" s="346"/>
    </row>
    <row r="107" spans="1:34" ht="11.1" customHeight="1">
      <c r="A107" s="344"/>
      <c r="B107" s="338"/>
      <c r="C107" s="139" t="s">
        <v>98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138">
        <f t="shared" ref="AE107" si="47">COUNTA(D107:AC107)</f>
        <v>0</v>
      </c>
      <c r="AF107" s="138">
        <f t="shared" ref="AF107" si="48">SUM(D107:AC107)</f>
        <v>0</v>
      </c>
      <c r="AG107" s="146" t="str">
        <f t="shared" ref="AG107" si="49">IF(ISERROR(AF107/AE107),"NIC",AF107/AE107)</f>
        <v>NIC</v>
      </c>
      <c r="AH107" s="338"/>
    </row>
    <row r="108" spans="1:34" ht="11.1" customHeight="1">
      <c r="A108" s="342" t="s">
        <v>51</v>
      </c>
      <c r="B108" s="337" t="str">
        <f>INDEX(Soupiska!$A$3:$B$27,MATCH(A108,Soupiska!$A$3:$A$27,0),2)</f>
        <v>D</v>
      </c>
      <c r="C108" s="143" t="s">
        <v>99</v>
      </c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144">
        <f>COUNTA(D108:AC108)</f>
        <v>0</v>
      </c>
      <c r="AF108" s="144">
        <f>SUM(D108:AC108)</f>
        <v>0</v>
      </c>
      <c r="AG108" s="147" t="str">
        <f>IF(ISERROR(AF108/AE108),"NIC",AF108/AE108)</f>
        <v>NIC</v>
      </c>
      <c r="AH108" s="345">
        <f>CEILING(AD108+AD110+(AE108*$M$138)+(AE110*$M$138)+(AF108*(LOOKUP(B108,$O$137:$R$137,$O$138:$R$138)))+(AF110*(LOOKUP(B108,$O$137:$R$137,$O$138:$R$138))),1)</f>
        <v>0</v>
      </c>
    </row>
    <row r="109" spans="1:34" ht="11.1" customHeight="1">
      <c r="A109" s="343"/>
      <c r="B109" s="335"/>
      <c r="C109" s="215" t="s">
        <v>97</v>
      </c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7">
        <f>COUNTA(D109:AC109)</f>
        <v>0</v>
      </c>
      <c r="AF109" s="217">
        <f>SUM(D109:AC109)</f>
        <v>0</v>
      </c>
      <c r="AG109" s="218" t="str">
        <f>IF(ISERROR(AF109/AE109),"NIC",AF109/AE109)</f>
        <v>NIC</v>
      </c>
      <c r="AH109" s="346"/>
    </row>
    <row r="110" spans="1:34" ht="11.1" customHeight="1">
      <c r="A110" s="344"/>
      <c r="B110" s="338"/>
      <c r="C110" s="139" t="s">
        <v>98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138">
        <f t="shared" ref="AE110" si="50">COUNTA(D110:AC110)</f>
        <v>0</v>
      </c>
      <c r="AF110" s="138">
        <f t="shared" ref="AF110" si="51">SUM(D110:AC110)</f>
        <v>0</v>
      </c>
      <c r="AG110" s="146" t="str">
        <f t="shared" ref="AG110" si="52">IF(ISERROR(AF110/AE110),"NIC",AF110/AE110)</f>
        <v>NIC</v>
      </c>
      <c r="AH110" s="338"/>
    </row>
    <row r="111" spans="1:34" ht="11.1" customHeight="1">
      <c r="A111" s="342" t="s">
        <v>52</v>
      </c>
      <c r="B111" s="337" t="str">
        <f>INDEX(Soupiska!$A$3:$B$27,MATCH(A111,Soupiska!$A$3:$A$27,0),2)</f>
        <v>C</v>
      </c>
      <c r="C111" s="143" t="s">
        <v>99</v>
      </c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144">
        <f>COUNTA(D111:AC111)</f>
        <v>0</v>
      </c>
      <c r="AF111" s="144">
        <f>SUM(D111:AC111)</f>
        <v>0</v>
      </c>
      <c r="AG111" s="147" t="str">
        <f>IF(ISERROR(AF111/AE111),"NIC",AF111/AE111)</f>
        <v>NIC</v>
      </c>
      <c r="AH111" s="345">
        <f>CEILING(AD111+AD113+(AE111*$M$138)+(AE113*$M$138)+(AF111*(LOOKUP(B111,$O$137:$R$137,$O$138:$R$138)))+(AF113*(LOOKUP(B111,$O$137:$R$137,$O$138:$R$138))),1)</f>
        <v>0</v>
      </c>
    </row>
    <row r="112" spans="1:34" ht="11.1" customHeight="1">
      <c r="A112" s="343"/>
      <c r="B112" s="335"/>
      <c r="C112" s="215" t="s">
        <v>97</v>
      </c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7">
        <f>COUNTA(D112:AC112)</f>
        <v>0</v>
      </c>
      <c r="AF112" s="217">
        <f>SUM(D112:AC112)</f>
        <v>0</v>
      </c>
      <c r="AG112" s="218" t="str">
        <f>IF(ISERROR(AF112/AE112),"NIC",AF112/AE112)</f>
        <v>NIC</v>
      </c>
      <c r="AH112" s="346"/>
    </row>
    <row r="113" spans="1:34" ht="11.1" customHeight="1">
      <c r="A113" s="344"/>
      <c r="B113" s="338"/>
      <c r="C113" s="139" t="s">
        <v>98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138">
        <f t="shared" ref="AE113" si="53">COUNTA(D113:AC113)</f>
        <v>0</v>
      </c>
      <c r="AF113" s="138">
        <f t="shared" ref="AF113" si="54">SUM(D113:AC113)</f>
        <v>0</v>
      </c>
      <c r="AG113" s="146" t="str">
        <f t="shared" ref="AG113" si="55">IF(ISERROR(AF113/AE113),"NIC",AF113/AE113)</f>
        <v>NIC</v>
      </c>
      <c r="AH113" s="338"/>
    </row>
    <row r="114" spans="1:34" ht="11.1" customHeight="1">
      <c r="A114" s="342" t="s">
        <v>54</v>
      </c>
      <c r="B114" s="337" t="str">
        <f>INDEX(Soupiska!$A$3:$B$27,MATCH(A114,Soupiska!$A$3:$A$27,0),2)</f>
        <v>D</v>
      </c>
      <c r="C114" s="143" t="s">
        <v>99</v>
      </c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144">
        <f>COUNTA(D114:AC114)</f>
        <v>0</v>
      </c>
      <c r="AF114" s="144">
        <f>SUM(D114:AC114)</f>
        <v>0</v>
      </c>
      <c r="AG114" s="147" t="str">
        <f>IF(ISERROR(AF114/AE114),"NIC",AF114/AE114)</f>
        <v>NIC</v>
      </c>
      <c r="AH114" s="345">
        <f>CEILING(AD114+AD116+(AE114*$M$138)+(AE116*$M$138)+(AF114*(LOOKUP(B114,$O$137:$R$137,$O$138:$R$138)))+(AF116*(LOOKUP(B114,$O$137:$R$137,$O$138:$R$138))),1)</f>
        <v>0</v>
      </c>
    </row>
    <row r="115" spans="1:34" ht="11.1" customHeight="1">
      <c r="A115" s="343"/>
      <c r="B115" s="335"/>
      <c r="C115" s="215" t="s">
        <v>97</v>
      </c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7">
        <f>COUNTA(D115:AC115)</f>
        <v>0</v>
      </c>
      <c r="AF115" s="217">
        <f>SUM(D115:AC115)</f>
        <v>0</v>
      </c>
      <c r="AG115" s="218" t="str">
        <f>IF(ISERROR(AF115/AE115),"NIC",AF115/AE115)</f>
        <v>NIC</v>
      </c>
      <c r="AH115" s="346"/>
    </row>
    <row r="116" spans="1:34" ht="11.1" customHeight="1">
      <c r="A116" s="344"/>
      <c r="B116" s="338"/>
      <c r="C116" s="139" t="s">
        <v>98</v>
      </c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138">
        <f t="shared" ref="AE116" si="56">COUNTA(D116:AC116)</f>
        <v>0</v>
      </c>
      <c r="AF116" s="138">
        <f t="shared" ref="AF116" si="57">SUM(D116:AC116)</f>
        <v>0</v>
      </c>
      <c r="AG116" s="146" t="str">
        <f t="shared" ref="AG116" si="58">IF(ISERROR(AF116/AE116),"NIC",AF116/AE116)</f>
        <v>NIC</v>
      </c>
      <c r="AH116" s="338"/>
    </row>
    <row r="117" spans="1:34" ht="11.1" customHeight="1">
      <c r="A117" s="342" t="s">
        <v>55</v>
      </c>
      <c r="B117" s="337" t="str">
        <f>INDEX(Soupiska!$A$3:$B$27,MATCH(A117,Soupiska!$A$3:$A$27,0),2)</f>
        <v>D</v>
      </c>
      <c r="C117" s="143" t="s">
        <v>99</v>
      </c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144">
        <f>COUNTA(D117:AC117)</f>
        <v>0</v>
      </c>
      <c r="AF117" s="144">
        <f>SUM(D117:AC117)</f>
        <v>0</v>
      </c>
      <c r="AG117" s="147" t="str">
        <f>IF(ISERROR(AF117/AE117),"NIC",AF117/AE117)</f>
        <v>NIC</v>
      </c>
      <c r="AH117" s="345">
        <f>CEILING(AD117+AD119+(AE117*$M$138)+(AE119*$M$138)+(AF117*(LOOKUP(B117,$O$137:$R$137,$O$138:$R$138)))+(AF119*(LOOKUP(B117,$O$137:$R$137,$O$138:$R$138))),1)</f>
        <v>0</v>
      </c>
    </row>
    <row r="118" spans="1:34" ht="11.1" customHeight="1">
      <c r="A118" s="343"/>
      <c r="B118" s="335"/>
      <c r="C118" s="215" t="s">
        <v>97</v>
      </c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7">
        <f>COUNTA(D118:AC118)</f>
        <v>0</v>
      </c>
      <c r="AF118" s="217">
        <f>SUM(D118:AC118)</f>
        <v>0</v>
      </c>
      <c r="AG118" s="218" t="str">
        <f>IF(ISERROR(AF118/AE118),"NIC",AF118/AE118)</f>
        <v>NIC</v>
      </c>
      <c r="AH118" s="346"/>
    </row>
    <row r="119" spans="1:34" ht="11.1" customHeight="1">
      <c r="A119" s="344"/>
      <c r="B119" s="338"/>
      <c r="C119" s="139" t="s">
        <v>98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138">
        <f t="shared" ref="AE119" si="59">COUNTA(D119:AC119)</f>
        <v>0</v>
      </c>
      <c r="AF119" s="138">
        <f t="shared" ref="AF119" si="60">SUM(D119:AC119)</f>
        <v>0</v>
      </c>
      <c r="AG119" s="146" t="str">
        <f t="shared" ref="AG119" si="61">IF(ISERROR(AF119/AE119),"NIC",AF119/AE119)</f>
        <v>NIC</v>
      </c>
      <c r="AH119" s="338"/>
    </row>
    <row r="120" spans="1:34" ht="11.1" customHeight="1">
      <c r="A120" s="342" t="s">
        <v>56</v>
      </c>
      <c r="B120" s="337" t="str">
        <f>INDEX(Soupiska!$A$3:$B$27,MATCH(A120,Soupiska!$A$3:$A$27,0),2)</f>
        <v>D</v>
      </c>
      <c r="C120" s="143" t="s">
        <v>99</v>
      </c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144">
        <f>COUNTA(D120:AC120)</f>
        <v>0</v>
      </c>
      <c r="AF120" s="144">
        <f>SUM(D120:AC120)</f>
        <v>0</v>
      </c>
      <c r="AG120" s="147" t="str">
        <f>IF(ISERROR(AF120/AE120),"NIC",AF120/AE120)</f>
        <v>NIC</v>
      </c>
      <c r="AH120" s="345">
        <f>CEILING(AD120+AD122+(AE120*$M$138)+(AE122*$M$138)+(AF120*(LOOKUP(B120,$O$137:$R$137,$O$138:$R$138)))+(AF122*(LOOKUP(B120,$O$137:$R$137,$O$138:$R$138))),1)</f>
        <v>0</v>
      </c>
    </row>
    <row r="121" spans="1:34" ht="11.1" customHeight="1">
      <c r="A121" s="343"/>
      <c r="B121" s="335"/>
      <c r="C121" s="215" t="s">
        <v>97</v>
      </c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7">
        <f>COUNTA(D121:AC121)</f>
        <v>0</v>
      </c>
      <c r="AF121" s="217">
        <f>SUM(D121:AC121)</f>
        <v>0</v>
      </c>
      <c r="AG121" s="218" t="str">
        <f>IF(ISERROR(AF121/AE121),"NIC",AF121/AE121)</f>
        <v>NIC</v>
      </c>
      <c r="AH121" s="346"/>
    </row>
    <row r="122" spans="1:34" ht="11.1" customHeight="1">
      <c r="A122" s="344"/>
      <c r="B122" s="338"/>
      <c r="C122" s="139" t="s">
        <v>98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138">
        <f t="shared" ref="AE122" si="62">COUNTA(D122:AC122)</f>
        <v>0</v>
      </c>
      <c r="AF122" s="138">
        <f t="shared" ref="AF122" si="63">SUM(D122:AC122)</f>
        <v>0</v>
      </c>
      <c r="AG122" s="146" t="str">
        <f t="shared" ref="AG122" si="64">IF(ISERROR(AF122/AE122),"NIC",AF122/AE122)</f>
        <v>NIC</v>
      </c>
      <c r="AH122" s="338"/>
    </row>
    <row r="123" spans="1:34" ht="11.1" customHeight="1">
      <c r="A123" s="342" t="s">
        <v>95</v>
      </c>
      <c r="B123" s="337" t="str">
        <f>INDEX(Soupiska!$A$3:$B$27,MATCH(A123,Soupiska!$A$3:$A$27,0),2)</f>
        <v>B</v>
      </c>
      <c r="C123" s="143" t="s">
        <v>99</v>
      </c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144">
        <f>COUNTA(D123:AC123)</f>
        <v>0</v>
      </c>
      <c r="AF123" s="144">
        <f>SUM(D123:AC123)</f>
        <v>0</v>
      </c>
      <c r="AG123" s="147" t="str">
        <f>IF(ISERROR(AF123/AE123),"NIC",AF123/AE123)</f>
        <v>NIC</v>
      </c>
      <c r="AH123" s="345">
        <f>CEILING(AD123+AD125+(AE123*$M$138)+(AE125*$M$138)+(AF123*(LOOKUP(B123,$O$137:$R$137,$O$138:$R$138)))+(AF125*(LOOKUP(B123,$O$137:$R$137,$O$138:$R$138))),1)</f>
        <v>0</v>
      </c>
    </row>
    <row r="124" spans="1:34" ht="11.1" customHeight="1">
      <c r="A124" s="343"/>
      <c r="B124" s="335"/>
      <c r="C124" s="215" t="s">
        <v>97</v>
      </c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7">
        <f>COUNTA(D124:AC124)</f>
        <v>0</v>
      </c>
      <c r="AF124" s="217">
        <f>SUM(D124:AC124)</f>
        <v>0</v>
      </c>
      <c r="AG124" s="218" t="str">
        <f>IF(ISERROR(AF124/AE124),"NIC",AF124/AE124)</f>
        <v>NIC</v>
      </c>
      <c r="AH124" s="346"/>
    </row>
    <row r="125" spans="1:34" ht="11.1" customHeight="1">
      <c r="A125" s="344"/>
      <c r="B125" s="338"/>
      <c r="C125" s="139" t="s">
        <v>98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138">
        <f t="shared" ref="AE125" si="65">COUNTA(D125:AC125)</f>
        <v>0</v>
      </c>
      <c r="AF125" s="138">
        <f t="shared" ref="AF125" si="66">SUM(D125:AC125)</f>
        <v>0</v>
      </c>
      <c r="AG125" s="146" t="str">
        <f t="shared" ref="AG125" si="67">IF(ISERROR(AF125/AE125),"NIC",AF125/AE125)</f>
        <v>NIC</v>
      </c>
      <c r="AH125" s="338"/>
    </row>
    <row r="126" spans="1:34" ht="11.1" customHeight="1">
      <c r="A126" s="342" t="s">
        <v>58</v>
      </c>
      <c r="B126" s="337" t="str">
        <f>INDEX(Soupiska!$A$3:$B$27,MATCH(A126,Soupiska!$A$3:$A$27,0),2)</f>
        <v>D</v>
      </c>
      <c r="C126" s="143" t="s">
        <v>99</v>
      </c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144">
        <f>COUNTA(D126:AC126)</f>
        <v>0</v>
      </c>
      <c r="AF126" s="144">
        <f>SUM(D126:AC126)</f>
        <v>0</v>
      </c>
      <c r="AG126" s="147" t="str">
        <f>IF(ISERROR(AF126/AE126),"NIC",AF126/AE126)</f>
        <v>NIC</v>
      </c>
      <c r="AH126" s="345">
        <f>CEILING(AD126+AD128+(AE126*$M$138)+(AE128*$M$138)+(AF126*(LOOKUP(B126,$O$137:$R$137,$O$138:$R$138)))+(AF128*(LOOKUP(B126,$O$137:$R$137,$O$138:$R$138))),1)</f>
        <v>0</v>
      </c>
    </row>
    <row r="127" spans="1:34" ht="11.1" customHeight="1">
      <c r="A127" s="343"/>
      <c r="B127" s="335"/>
      <c r="C127" s="215" t="s">
        <v>97</v>
      </c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7">
        <f>COUNTA(D127:AC127)</f>
        <v>0</v>
      </c>
      <c r="AF127" s="217">
        <f>SUM(D127:AC127)</f>
        <v>0</v>
      </c>
      <c r="AG127" s="218" t="str">
        <f>IF(ISERROR(AF127/AE127),"NIC",AF127/AE127)</f>
        <v>NIC</v>
      </c>
      <c r="AH127" s="346"/>
    </row>
    <row r="128" spans="1:34" ht="11.1" customHeight="1">
      <c r="A128" s="344"/>
      <c r="B128" s="338"/>
      <c r="C128" s="139" t="s">
        <v>98</v>
      </c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138">
        <f t="shared" ref="AE128" si="68">COUNTA(D128:AC128)</f>
        <v>0</v>
      </c>
      <c r="AF128" s="138">
        <f t="shared" ref="AF128" si="69">SUM(D128:AC128)</f>
        <v>0</v>
      </c>
      <c r="AG128" s="146" t="str">
        <f t="shared" ref="AG128" si="70">IF(ISERROR(AF128/AE128),"NIC",AF128/AE128)</f>
        <v>NIC</v>
      </c>
      <c r="AH128" s="338"/>
    </row>
    <row r="129" spans="1:34" ht="11.1" customHeight="1">
      <c r="A129" s="342" t="s">
        <v>59</v>
      </c>
      <c r="B129" s="337" t="str">
        <f>INDEX(Soupiska!$A$3:$B$27,MATCH(A129,Soupiska!$A$3:$A$27,0),2)</f>
        <v>D</v>
      </c>
      <c r="C129" s="143" t="s">
        <v>99</v>
      </c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144">
        <f>COUNTA(D129:AC129)</f>
        <v>0</v>
      </c>
      <c r="AF129" s="144">
        <f>SUM(D129:AC129)</f>
        <v>0</v>
      </c>
      <c r="AG129" s="147" t="str">
        <f>IF(ISERROR(AF129/AE129),"NIC",AF129/AE129)</f>
        <v>NIC</v>
      </c>
      <c r="AH129" s="345">
        <f>CEILING(AD129+AD131+(AE129*$M$138)+(AE131*$M$138)+(AF129*(LOOKUP(B129,$O$137:$R$137,$O$138:$R$138)))+(AF131*(LOOKUP(B129,$O$137:$R$137,$O$138:$R$138))),1)</f>
        <v>0</v>
      </c>
    </row>
    <row r="130" spans="1:34" ht="11.1" customHeight="1">
      <c r="A130" s="343"/>
      <c r="B130" s="335"/>
      <c r="C130" s="215" t="s">
        <v>97</v>
      </c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7">
        <f>COUNTA(D130:AC130)</f>
        <v>0</v>
      </c>
      <c r="AF130" s="217">
        <f>SUM(D130:AC130)</f>
        <v>0</v>
      </c>
      <c r="AG130" s="218" t="str">
        <f>IF(ISERROR(AF130/AE130),"NIC",AF130/AE130)</f>
        <v>NIC</v>
      </c>
      <c r="AH130" s="346"/>
    </row>
    <row r="131" spans="1:34" ht="11.1" customHeight="1">
      <c r="A131" s="344"/>
      <c r="B131" s="338"/>
      <c r="C131" s="139" t="s">
        <v>98</v>
      </c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138">
        <f t="shared" ref="AE131" si="71">COUNTA(D131:AC131)</f>
        <v>0</v>
      </c>
      <c r="AF131" s="138">
        <f t="shared" ref="AF131" si="72">SUM(D131:AC131)</f>
        <v>0</v>
      </c>
      <c r="AG131" s="146" t="str">
        <f t="shared" ref="AG131" si="73">IF(ISERROR(AF131/AE131),"NIC",AF131/AE131)</f>
        <v>NIC</v>
      </c>
      <c r="AH131" s="338"/>
    </row>
    <row r="132" spans="1:34" ht="11.1" customHeight="1">
      <c r="A132" s="342" t="s">
        <v>60</v>
      </c>
      <c r="B132" s="337" t="e">
        <f>INDEX(Soupiska!$A$3:$B$27,MATCH(A132,Soupiska!$A$3:$A$27,0),2)</f>
        <v>#N/A</v>
      </c>
      <c r="C132" s="143" t="s">
        <v>99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144">
        <f>COUNTA(D132:AC132)</f>
        <v>0</v>
      </c>
      <c r="AF132" s="144">
        <f>SUM(D132:AC132)</f>
        <v>0</v>
      </c>
      <c r="AG132" s="147" t="str">
        <f>IF(ISERROR(AF132/AE132),"NIC",AF132/AE132)</f>
        <v>NIC</v>
      </c>
      <c r="AH132" s="345" t="e">
        <f>CEILING(AD132+AD134+(AE132*$M$138)+(AE134*$M$138)+(AF132*(LOOKUP(B132,$O$137:$R$137,$O$138:$R$138)))+(AF134*(LOOKUP(B132,$O$137:$R$137,$O$138:$R$138))),1)</f>
        <v>#N/A</v>
      </c>
    </row>
    <row r="133" spans="1:34" ht="11.1" customHeight="1">
      <c r="A133" s="343"/>
      <c r="B133" s="335"/>
      <c r="C133" s="215" t="s">
        <v>97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7">
        <f>COUNTA(D133:AC133)</f>
        <v>0</v>
      </c>
      <c r="AF133" s="217">
        <f>SUM(D133:AC133)</f>
        <v>0</v>
      </c>
      <c r="AG133" s="218" t="str">
        <f>IF(ISERROR(AF133/AE133),"NIC",AF133/AE133)</f>
        <v>NIC</v>
      </c>
      <c r="AH133" s="346"/>
    </row>
    <row r="134" spans="1:34" ht="11.1" customHeight="1">
      <c r="A134" s="344"/>
      <c r="B134" s="338"/>
      <c r="C134" s="139" t="s">
        <v>98</v>
      </c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138">
        <f t="shared" ref="AE134" si="74">COUNTA(D134:AC134)</f>
        <v>0</v>
      </c>
      <c r="AF134" s="138">
        <f t="shared" ref="AF134" si="75">SUM(D134:AC134)</f>
        <v>0</v>
      </c>
      <c r="AG134" s="146" t="str">
        <f t="shared" ref="AG134" si="76">IF(ISERROR(AF134/AE134),"NIC",AF134/AE134)</f>
        <v>NIC</v>
      </c>
      <c r="AH134" s="338"/>
    </row>
    <row r="135" spans="1:34" ht="34.5" customHeight="1" thickBot="1"/>
    <row r="136" spans="1:34">
      <c r="A136" s="316"/>
      <c r="B136" s="316"/>
      <c r="C136" s="125"/>
      <c r="D136" s="306" t="s">
        <v>74</v>
      </c>
      <c r="E136" s="356"/>
      <c r="F136" s="356"/>
      <c r="G136" s="356"/>
      <c r="H136" s="356"/>
      <c r="I136" s="356"/>
      <c r="J136" s="356"/>
      <c r="K136" s="356"/>
      <c r="L136" s="357"/>
      <c r="M136" s="360" t="s">
        <v>107</v>
      </c>
      <c r="N136" s="361"/>
      <c r="O136" s="312" t="s">
        <v>78</v>
      </c>
      <c r="P136" s="247"/>
      <c r="Q136" s="247"/>
      <c r="R136" s="252"/>
      <c r="S136" s="95"/>
      <c r="T136" s="95"/>
    </row>
    <row r="137" spans="1:34" ht="15.75" thickBot="1">
      <c r="A137" s="316"/>
      <c r="B137" s="316"/>
      <c r="C137" s="125"/>
      <c r="D137" s="309"/>
      <c r="E137" s="358"/>
      <c r="F137" s="358"/>
      <c r="G137" s="358"/>
      <c r="H137" s="358"/>
      <c r="I137" s="358"/>
      <c r="J137" s="358"/>
      <c r="K137" s="358"/>
      <c r="L137" s="359"/>
      <c r="M137" s="362"/>
      <c r="N137" s="363"/>
      <c r="O137" s="50" t="s">
        <v>100</v>
      </c>
      <c r="P137" s="75" t="s">
        <v>99</v>
      </c>
      <c r="Q137" s="122" t="s">
        <v>97</v>
      </c>
      <c r="R137" s="51" t="s">
        <v>98</v>
      </c>
      <c r="S137" s="61"/>
      <c r="T137" s="61"/>
    </row>
    <row r="138" spans="1:34" ht="15.75" thickBot="1">
      <c r="A138" s="321"/>
      <c r="B138" s="321"/>
      <c r="C138" s="126"/>
      <c r="D138" s="351" t="s">
        <v>81</v>
      </c>
      <c r="E138" s="352"/>
      <c r="F138" s="352"/>
      <c r="G138" s="352"/>
      <c r="H138" s="352"/>
      <c r="I138" s="352"/>
      <c r="J138" s="352"/>
      <c r="K138" s="352"/>
      <c r="L138" s="353"/>
      <c r="M138" s="354">
        <v>6</v>
      </c>
      <c r="N138" s="355"/>
      <c r="O138" s="47">
        <v>3</v>
      </c>
      <c r="P138" s="22">
        <v>3</v>
      </c>
      <c r="Q138" s="22">
        <v>3</v>
      </c>
      <c r="R138" s="48">
        <v>4</v>
      </c>
      <c r="S138" s="62"/>
      <c r="T138" s="62"/>
    </row>
  </sheetData>
  <mergeCells count="86">
    <mergeCell ref="A123:A125"/>
    <mergeCell ref="B123:B125"/>
    <mergeCell ref="AH123:AH125"/>
    <mergeCell ref="A132:A134"/>
    <mergeCell ref="B132:B134"/>
    <mergeCell ref="AH132:AH134"/>
    <mergeCell ref="A126:A128"/>
    <mergeCell ref="B126:B128"/>
    <mergeCell ref="AH126:AH128"/>
    <mergeCell ref="A129:A131"/>
    <mergeCell ref="B129:B131"/>
    <mergeCell ref="AH129:AH131"/>
    <mergeCell ref="A108:A110"/>
    <mergeCell ref="B108:B110"/>
    <mergeCell ref="AH108:AH110"/>
    <mergeCell ref="AH117:AH119"/>
    <mergeCell ref="A120:A122"/>
    <mergeCell ref="B120:B122"/>
    <mergeCell ref="AH120:AH122"/>
    <mergeCell ref="A102:A104"/>
    <mergeCell ref="B102:B104"/>
    <mergeCell ref="AH102:AH104"/>
    <mergeCell ref="A105:A107"/>
    <mergeCell ref="B105:B107"/>
    <mergeCell ref="AH105:AH107"/>
    <mergeCell ref="A90:A92"/>
    <mergeCell ref="B90:B92"/>
    <mergeCell ref="AH90:AH92"/>
    <mergeCell ref="AH96:AH98"/>
    <mergeCell ref="A99:A101"/>
    <mergeCell ref="B99:B101"/>
    <mergeCell ref="AH99:AH101"/>
    <mergeCell ref="A84:A86"/>
    <mergeCell ref="B84:B86"/>
    <mergeCell ref="AH84:AH86"/>
    <mergeCell ref="A87:A89"/>
    <mergeCell ref="B87:B89"/>
    <mergeCell ref="AH87:AH89"/>
    <mergeCell ref="O136:R136"/>
    <mergeCell ref="A64:AH64"/>
    <mergeCell ref="A61:B62"/>
    <mergeCell ref="O61:R61"/>
    <mergeCell ref="D63:L63"/>
    <mergeCell ref="AH111:AH113"/>
    <mergeCell ref="AH114:AH116"/>
    <mergeCell ref="A66:A68"/>
    <mergeCell ref="A69:A71"/>
    <mergeCell ref="B69:B71"/>
    <mergeCell ref="AH69:AH71"/>
    <mergeCell ref="A72:A74"/>
    <mergeCell ref="B72:B74"/>
    <mergeCell ref="AH72:AH74"/>
    <mergeCell ref="A75:A77"/>
    <mergeCell ref="B75:B77"/>
    <mergeCell ref="A138:B138"/>
    <mergeCell ref="D138:L138"/>
    <mergeCell ref="M138:N138"/>
    <mergeCell ref="D61:L62"/>
    <mergeCell ref="A136:B137"/>
    <mergeCell ref="D136:L137"/>
    <mergeCell ref="M136:N137"/>
    <mergeCell ref="M61:N62"/>
    <mergeCell ref="A63:B63"/>
    <mergeCell ref="M63:N63"/>
    <mergeCell ref="A111:A113"/>
    <mergeCell ref="A114:A116"/>
    <mergeCell ref="A117:A119"/>
    <mergeCell ref="B111:B113"/>
    <mergeCell ref="B114:B116"/>
    <mergeCell ref="B117:B119"/>
    <mergeCell ref="A1:AE1"/>
    <mergeCell ref="A31:AH31"/>
    <mergeCell ref="B66:B68"/>
    <mergeCell ref="B93:B95"/>
    <mergeCell ref="B96:B98"/>
    <mergeCell ref="AH66:AH68"/>
    <mergeCell ref="A93:A95"/>
    <mergeCell ref="AH93:AH95"/>
    <mergeCell ref="A96:A98"/>
    <mergeCell ref="AH75:AH77"/>
    <mergeCell ref="A78:A80"/>
    <mergeCell ref="B78:B80"/>
    <mergeCell ref="AH78:AH80"/>
    <mergeCell ref="A81:A83"/>
    <mergeCell ref="B81:B83"/>
    <mergeCell ref="AH81:AH83"/>
  </mergeCells>
  <dataValidations count="1">
    <dataValidation showInputMessage="1" showErrorMessage="1" promptTitle="Upozornění !!!" sqref="A105:C106 A132:C133 A129:C130 A126:C127 A123:C124 A120:C121 A117:C118 A114:C115 A111:C112 A108:C109 A87 B87:C88 B90:C91 B81:C82 B84:C85 B75:C76 B78:C79 B69:C70 B72:C73 B66:C67 A102:C103 A99:C100 A96:C97 A93:C94 A81 A90 A75 A84 A69 A78 A66 A72 A33:C59 A3:C29"/>
  </dataValidations>
  <pageMargins left="0.7" right="0.7" top="0.78740157499999996" bottom="0.78740157499999996" header="0.3" footer="0.3"/>
  <pageSetup paperSize="9" orientation="landscape" verticalDpi="0" r:id="rId1"/>
  <ignoredErrors>
    <ignoredError sqref="AE36:AF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B8" sqref="B8"/>
    </sheetView>
  </sheetViews>
  <sheetFormatPr defaultRowHeight="15"/>
  <cols>
    <col min="1" max="1" width="23.7109375" customWidth="1"/>
    <col min="2" max="2" width="7.7109375" customWidth="1"/>
  </cols>
  <sheetData>
    <row r="1" spans="1:2" ht="21.75" thickBot="1">
      <c r="A1" s="263" t="s">
        <v>110</v>
      </c>
      <c r="B1" s="263"/>
    </row>
    <row r="2" spans="1:2" s="49" customFormat="1" ht="12.95" customHeight="1" thickBot="1">
      <c r="A2" s="118" t="s">
        <v>36</v>
      </c>
      <c r="B2" s="118" t="s">
        <v>96</v>
      </c>
    </row>
    <row r="3" spans="1:2" s="49" customFormat="1" ht="12.95" customHeight="1">
      <c r="A3" s="119" t="s">
        <v>38</v>
      </c>
      <c r="B3" s="120" t="s">
        <v>98</v>
      </c>
    </row>
    <row r="4" spans="1:2" s="49" customFormat="1" ht="12.95" customHeight="1">
      <c r="A4" s="119" t="s">
        <v>124</v>
      </c>
      <c r="B4" s="120" t="s">
        <v>99</v>
      </c>
    </row>
    <row r="5" spans="1:2" s="49" customFormat="1" ht="12.95" customHeight="1">
      <c r="A5" s="119" t="s">
        <v>39</v>
      </c>
      <c r="B5" s="120" t="s">
        <v>99</v>
      </c>
    </row>
    <row r="6" spans="1:2" s="49" customFormat="1" ht="12.95" customHeight="1">
      <c r="A6" s="119" t="s">
        <v>40</v>
      </c>
      <c r="B6" s="120" t="s">
        <v>98</v>
      </c>
    </row>
    <row r="7" spans="1:2" s="49" customFormat="1" ht="12.95" customHeight="1">
      <c r="A7" s="119" t="s">
        <v>41</v>
      </c>
      <c r="B7" s="120" t="s">
        <v>98</v>
      </c>
    </row>
    <row r="8" spans="1:2" s="49" customFormat="1" ht="12.95" customHeight="1">
      <c r="A8" s="119" t="s">
        <v>42</v>
      </c>
      <c r="B8" s="120" t="s">
        <v>100</v>
      </c>
    </row>
    <row r="9" spans="1:2" s="49" customFormat="1" ht="12.95" customHeight="1">
      <c r="A9" s="119" t="s">
        <v>43</v>
      </c>
      <c r="B9" s="120" t="s">
        <v>99</v>
      </c>
    </row>
    <row r="10" spans="1:2" s="49" customFormat="1" ht="12.95" customHeight="1">
      <c r="A10" s="119" t="s">
        <v>44</v>
      </c>
      <c r="B10" s="120" t="s">
        <v>97</v>
      </c>
    </row>
    <row r="11" spans="1:2" s="49" customFormat="1" ht="12.95" customHeight="1">
      <c r="A11" s="119" t="s">
        <v>45</v>
      </c>
      <c r="B11" s="120" t="s">
        <v>99</v>
      </c>
    </row>
    <row r="12" spans="1:2" s="49" customFormat="1" ht="12.95" customHeight="1">
      <c r="A12" s="119" t="s">
        <v>46</v>
      </c>
      <c r="B12" s="120" t="s">
        <v>97</v>
      </c>
    </row>
    <row r="13" spans="1:2" s="49" customFormat="1" ht="12.95" customHeight="1">
      <c r="A13" s="119" t="s">
        <v>48</v>
      </c>
      <c r="B13" s="120" t="s">
        <v>100</v>
      </c>
    </row>
    <row r="14" spans="1:2" s="49" customFormat="1" ht="12.95" customHeight="1">
      <c r="A14" s="119" t="s">
        <v>49</v>
      </c>
      <c r="B14" s="120" t="s">
        <v>98</v>
      </c>
    </row>
    <row r="15" spans="1:2" s="49" customFormat="1" ht="12.95" customHeight="1">
      <c r="A15" s="119" t="s">
        <v>159</v>
      </c>
      <c r="B15" s="120" t="s">
        <v>97</v>
      </c>
    </row>
    <row r="16" spans="1:2" s="49" customFormat="1" ht="12.95" customHeight="1">
      <c r="A16" s="119" t="s">
        <v>50</v>
      </c>
      <c r="B16" s="120" t="s">
        <v>98</v>
      </c>
    </row>
    <row r="17" spans="1:2" s="49" customFormat="1" ht="12.95" customHeight="1">
      <c r="A17" s="119" t="s">
        <v>122</v>
      </c>
      <c r="B17" s="120" t="s">
        <v>98</v>
      </c>
    </row>
    <row r="18" spans="1:2" s="49" customFormat="1" ht="12.95" customHeight="1">
      <c r="A18" s="119" t="s">
        <v>51</v>
      </c>
      <c r="B18" s="120" t="s">
        <v>98</v>
      </c>
    </row>
    <row r="19" spans="1:2" s="49" customFormat="1" ht="12.95" customHeight="1">
      <c r="A19" s="119" t="s">
        <v>52</v>
      </c>
      <c r="B19" s="120" t="s">
        <v>97</v>
      </c>
    </row>
    <row r="20" spans="1:2" s="49" customFormat="1" ht="12.95" customHeight="1">
      <c r="A20" s="119" t="s">
        <v>53</v>
      </c>
      <c r="B20" s="120" t="s">
        <v>100</v>
      </c>
    </row>
    <row r="21" spans="1:2" s="49" customFormat="1" ht="12.95" customHeight="1">
      <c r="A21" s="119" t="s">
        <v>54</v>
      </c>
      <c r="B21" s="120" t="s">
        <v>98</v>
      </c>
    </row>
    <row r="22" spans="1:2" s="49" customFormat="1" ht="12.95" customHeight="1">
      <c r="A22" s="119" t="s">
        <v>55</v>
      </c>
      <c r="B22" s="120" t="s">
        <v>98</v>
      </c>
    </row>
    <row r="23" spans="1:2" s="49" customFormat="1" ht="12.95" customHeight="1">
      <c r="A23" s="119" t="s">
        <v>56</v>
      </c>
      <c r="B23" s="120" t="s">
        <v>98</v>
      </c>
    </row>
    <row r="24" spans="1:2" s="49" customFormat="1" ht="12.95" customHeight="1">
      <c r="A24" s="119" t="s">
        <v>95</v>
      </c>
      <c r="B24" s="120" t="s">
        <v>99</v>
      </c>
    </row>
    <row r="25" spans="1:2" s="49" customFormat="1" ht="12.95" customHeight="1">
      <c r="A25" s="119" t="s">
        <v>57</v>
      </c>
      <c r="B25" s="120" t="s">
        <v>100</v>
      </c>
    </row>
    <row r="26" spans="1:2" s="49" customFormat="1" ht="12.95" customHeight="1">
      <c r="A26" s="119" t="s">
        <v>58</v>
      </c>
      <c r="B26" s="120" t="s">
        <v>98</v>
      </c>
    </row>
    <row r="27" spans="1:2" s="49" customFormat="1" ht="12.95" customHeight="1">
      <c r="A27" s="119" t="s">
        <v>59</v>
      </c>
      <c r="B27" s="120" t="s">
        <v>98</v>
      </c>
    </row>
  </sheetData>
  <sortState ref="A3:B26">
    <sortCondition ref="A3:A26"/>
  </sortState>
  <mergeCells count="1">
    <mergeCell ref="A1:B1"/>
  </mergeCells>
  <dataValidations count="1">
    <dataValidation showInputMessage="1" showErrorMessage="1" promptTitle="Upozornění !!!" sqref="A3:B27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2"/>
  <sheetViews>
    <sheetView workbookViewId="0">
      <selection activeCell="K10" sqref="K10"/>
    </sheetView>
  </sheetViews>
  <sheetFormatPr defaultRowHeight="15"/>
  <cols>
    <col min="1" max="1" width="19.42578125" customWidth="1"/>
    <col min="2" max="2" width="4.7109375" customWidth="1"/>
    <col min="3" max="37" width="2" customWidth="1"/>
    <col min="38" max="38" width="5.7109375" customWidth="1"/>
    <col min="39" max="40" width="5.7109375" style="11" customWidth="1"/>
    <col min="41" max="41" width="3.7109375" style="11" customWidth="1"/>
    <col min="42" max="42" width="8.7109375" style="11" customWidth="1"/>
  </cols>
  <sheetData>
    <row r="1" spans="1:42" ht="18" customHeight="1" thickBot="1">
      <c r="A1" s="273" t="s">
        <v>148</v>
      </c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</row>
    <row r="2" spans="1:42" s="109" customFormat="1" ht="12" thickBot="1">
      <c r="A2" s="4" t="s">
        <v>36</v>
      </c>
      <c r="B2" s="80" t="s">
        <v>96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82" t="s">
        <v>15</v>
      </c>
      <c r="R2" s="80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86" t="s">
        <v>113</v>
      </c>
      <c r="AM2" s="86" t="s">
        <v>109</v>
      </c>
      <c r="AN2" s="87" t="s">
        <v>114</v>
      </c>
      <c r="AO2" s="87" t="s">
        <v>147</v>
      </c>
      <c r="AP2" s="86" t="s">
        <v>61</v>
      </c>
    </row>
    <row r="3" spans="1:42">
      <c r="A3" s="2" t="s">
        <v>38</v>
      </c>
      <c r="B3" s="84" t="str">
        <f>LOOKUP(A3,Soupiska!$A$3:$A$27,Soupiska!$B$3:$B$27)</f>
        <v>D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44"/>
      <c r="R3" s="165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9">
        <f t="shared" ref="AL3:AL27" si="0">COUNTA(C3:AK3)</f>
        <v>0</v>
      </c>
      <c r="AM3" s="9">
        <f t="shared" ref="AM3:AM27" si="1">SUM(C3:AK3)</f>
        <v>0</v>
      </c>
      <c r="AN3" s="89" t="str">
        <f t="shared" ref="AN3:AN27" si="2">IF(ISERROR(AM3/AL3),"NIC",AM3/AL3)</f>
        <v>NIC</v>
      </c>
      <c r="AO3" s="190">
        <f>70-SUM((AL3*$P$32)+(AM3*(LOOKUP(B3,$R$31:$Y$31,$R$32:$Y$32))))</f>
        <v>70</v>
      </c>
      <c r="AP3" s="9">
        <f>IF(SUM((AL3*$P$32)+(AM3*(LOOKUP(B3,$R$31:$Y$31,$R$32:$Y$32))))&gt;70,SUM((AL3*$P$32)+(AM3*(LOOKUP(B3,$R$31:$Y$31,$R$32:$Y$32))))+AO3,SUM((AL3*$P$32)+(AM3*(LOOKUP(B3,$R$31:$Y$31,$R$32:$Y$32)))))</f>
        <v>0</v>
      </c>
    </row>
    <row r="4" spans="1:42">
      <c r="A4" s="2" t="s">
        <v>124</v>
      </c>
      <c r="B4" s="84" t="str">
        <f>LOOKUP(A4,Soupiska!$A$3:$A$27,Soupiska!$B$3:$B$27)</f>
        <v>B</v>
      </c>
      <c r="C4" s="21"/>
      <c r="D4" s="21"/>
      <c r="E4" s="21"/>
      <c r="F4" s="21"/>
      <c r="G4" s="21"/>
      <c r="H4" s="21"/>
      <c r="I4" s="21"/>
      <c r="J4" s="21"/>
      <c r="K4" s="21"/>
      <c r="L4" s="21">
        <v>1</v>
      </c>
      <c r="M4" s="21"/>
      <c r="N4" s="21"/>
      <c r="O4" s="21"/>
      <c r="P4" s="21"/>
      <c r="Q4" s="44"/>
      <c r="R4" s="16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9">
        <f t="shared" si="0"/>
        <v>1</v>
      </c>
      <c r="AM4" s="9">
        <f t="shared" si="1"/>
        <v>1</v>
      </c>
      <c r="AN4" s="89">
        <f t="shared" si="2"/>
        <v>1</v>
      </c>
      <c r="AO4" s="190">
        <f t="shared" ref="AO4:AO27" si="3">70-SUM((AL4*$P$32)+(AM4*(LOOKUP(B4,$R$31:$Y$31,$R$32:$Y$32))))</f>
        <v>67</v>
      </c>
      <c r="AP4" s="9">
        <f t="shared" ref="AP4:AP27" si="4">IF(SUM((AL4*$P$32)+(AM4*(LOOKUP(B4,$R$31:$Y$31,$R$32:$Y$32))))&gt;70,SUM((AL4*$P$32)+(AM4*(LOOKUP(B4,$R$31:$Y$31,$R$32:$Y$32))))+AO4,SUM((AL4*$P$32)+(AM4*(LOOKUP(B4,$R$31:$Y$31,$R$32:$Y$32)))))</f>
        <v>3</v>
      </c>
    </row>
    <row r="5" spans="1:42">
      <c r="A5" s="2" t="s">
        <v>39</v>
      </c>
      <c r="B5" s="84" t="str">
        <f>LOOKUP(A5,Soupiska!$A$3:$A$27,Soupiska!$B$3:$B$27)</f>
        <v>B</v>
      </c>
      <c r="C5" s="21"/>
      <c r="D5" s="21"/>
      <c r="E5" s="21">
        <v>2</v>
      </c>
      <c r="F5" s="21"/>
      <c r="G5" s="21"/>
      <c r="H5" s="21"/>
      <c r="I5" s="21">
        <v>1</v>
      </c>
      <c r="J5" s="21"/>
      <c r="K5" s="21">
        <v>2</v>
      </c>
      <c r="L5" s="21">
        <v>1</v>
      </c>
      <c r="M5" s="21"/>
      <c r="N5" s="21"/>
      <c r="O5" s="21"/>
      <c r="P5" s="21"/>
      <c r="Q5" s="44">
        <v>0</v>
      </c>
      <c r="R5" s="165"/>
      <c r="S5" s="21"/>
      <c r="T5" s="21"/>
      <c r="U5" s="21"/>
      <c r="V5" s="21"/>
      <c r="W5" s="21"/>
      <c r="X5" s="21">
        <v>2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9">
        <f t="shared" si="0"/>
        <v>6</v>
      </c>
      <c r="AM5" s="9">
        <f t="shared" si="1"/>
        <v>8</v>
      </c>
      <c r="AN5" s="89">
        <f t="shared" si="2"/>
        <v>1.3333333333333333</v>
      </c>
      <c r="AO5" s="190">
        <f t="shared" si="3"/>
        <v>50</v>
      </c>
      <c r="AP5" s="9">
        <f t="shared" si="4"/>
        <v>20</v>
      </c>
    </row>
    <row r="6" spans="1:42">
      <c r="A6" s="2" t="s">
        <v>40</v>
      </c>
      <c r="B6" s="84" t="str">
        <f>LOOKUP(A6,Soupiska!$A$3:$A$27,Soupiska!$B$3:$B$27)</f>
        <v>D</v>
      </c>
      <c r="C6" s="21"/>
      <c r="D6" s="21">
        <v>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44"/>
      <c r="R6" s="165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9">
        <f t="shared" si="0"/>
        <v>1</v>
      </c>
      <c r="AM6" s="9">
        <f t="shared" si="1"/>
        <v>0</v>
      </c>
      <c r="AN6" s="89">
        <f t="shared" si="2"/>
        <v>0</v>
      </c>
      <c r="AO6" s="190">
        <f t="shared" si="3"/>
        <v>68</v>
      </c>
      <c r="AP6" s="9">
        <f t="shared" si="4"/>
        <v>2</v>
      </c>
    </row>
    <row r="7" spans="1:42">
      <c r="A7" s="2" t="s">
        <v>41</v>
      </c>
      <c r="B7" s="84" t="str">
        <f>LOOKUP(A7,Soupiska!$A$3:$A$27,Soupiska!$B$3:$B$27)</f>
        <v>D</v>
      </c>
      <c r="C7" s="21"/>
      <c r="D7" s="21">
        <v>0</v>
      </c>
      <c r="E7" s="21">
        <v>0</v>
      </c>
      <c r="F7" s="21"/>
      <c r="G7" s="21"/>
      <c r="H7" s="21"/>
      <c r="I7" s="21">
        <v>0</v>
      </c>
      <c r="J7" s="21"/>
      <c r="K7" s="21"/>
      <c r="L7" s="21">
        <v>0</v>
      </c>
      <c r="M7" s="21">
        <v>1</v>
      </c>
      <c r="N7" s="21">
        <v>0</v>
      </c>
      <c r="O7" s="21"/>
      <c r="P7" s="21"/>
      <c r="Q7" s="44"/>
      <c r="R7" s="165">
        <v>0</v>
      </c>
      <c r="S7" s="21"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9">
        <f t="shared" si="0"/>
        <v>8</v>
      </c>
      <c r="AM7" s="9">
        <f t="shared" si="1"/>
        <v>1</v>
      </c>
      <c r="AN7" s="89">
        <f t="shared" si="2"/>
        <v>0.125</v>
      </c>
      <c r="AO7" s="190">
        <f t="shared" si="3"/>
        <v>52</v>
      </c>
      <c r="AP7" s="9">
        <f t="shared" si="4"/>
        <v>18</v>
      </c>
    </row>
    <row r="8" spans="1:42">
      <c r="A8" s="2" t="s">
        <v>42</v>
      </c>
      <c r="B8" s="84" t="str">
        <f>LOOKUP(A8,Soupiska!$A$3:$A$27,Soupiska!$B$3:$B$27)</f>
        <v>A</v>
      </c>
      <c r="C8" s="21">
        <v>2</v>
      </c>
      <c r="D8" s="21">
        <v>2</v>
      </c>
      <c r="E8" s="21">
        <v>1</v>
      </c>
      <c r="F8" s="21">
        <v>1</v>
      </c>
      <c r="G8" s="21">
        <v>2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21">
        <v>2</v>
      </c>
      <c r="N8" s="21">
        <v>1</v>
      </c>
      <c r="O8" s="21">
        <v>1</v>
      </c>
      <c r="P8" s="21">
        <v>2</v>
      </c>
      <c r="Q8" s="44">
        <v>1</v>
      </c>
      <c r="R8" s="165"/>
      <c r="S8" s="21"/>
      <c r="T8" s="21"/>
      <c r="U8" s="21">
        <v>1</v>
      </c>
      <c r="V8" s="21">
        <v>1</v>
      </c>
      <c r="W8" s="21"/>
      <c r="X8" s="21">
        <v>1</v>
      </c>
      <c r="Y8" s="21">
        <v>1</v>
      </c>
      <c r="Z8" s="21">
        <v>2</v>
      </c>
      <c r="AA8" s="21">
        <v>1</v>
      </c>
      <c r="AB8" s="21">
        <v>2</v>
      </c>
      <c r="AC8" s="21"/>
      <c r="AD8" s="21"/>
      <c r="AE8" s="21"/>
      <c r="AF8" s="21"/>
      <c r="AG8" s="21"/>
      <c r="AH8" s="21"/>
      <c r="AI8" s="21"/>
      <c r="AJ8" s="21"/>
      <c r="AK8" s="21"/>
      <c r="AL8" s="9">
        <f t="shared" si="0"/>
        <v>22</v>
      </c>
      <c r="AM8" s="9">
        <f t="shared" si="1"/>
        <v>34</v>
      </c>
      <c r="AN8" s="89">
        <f t="shared" si="2"/>
        <v>1.5454545454545454</v>
      </c>
      <c r="AO8" s="190">
        <f t="shared" si="3"/>
        <v>-8</v>
      </c>
      <c r="AP8" s="9">
        <f t="shared" si="4"/>
        <v>70</v>
      </c>
    </row>
    <row r="9" spans="1:42">
      <c r="A9" s="2" t="s">
        <v>43</v>
      </c>
      <c r="B9" s="84" t="str">
        <f>LOOKUP(A9,Soupiska!$A$3:$A$27,Soupiska!$B$3:$B$27)</f>
        <v>B</v>
      </c>
      <c r="C9" s="21">
        <v>1</v>
      </c>
      <c r="D9" s="21"/>
      <c r="E9" s="21"/>
      <c r="F9" s="21"/>
      <c r="G9" s="21"/>
      <c r="H9" s="21"/>
      <c r="I9" s="21">
        <v>2</v>
      </c>
      <c r="J9" s="21"/>
      <c r="K9" s="21"/>
      <c r="L9" s="21">
        <v>1</v>
      </c>
      <c r="M9" s="21"/>
      <c r="N9" s="21"/>
      <c r="O9" s="21"/>
      <c r="P9" s="21"/>
      <c r="Q9" s="44"/>
      <c r="R9" s="165">
        <v>2</v>
      </c>
      <c r="S9" s="21"/>
      <c r="T9" s="21">
        <v>2</v>
      </c>
      <c r="U9" s="21"/>
      <c r="V9" s="21"/>
      <c r="W9" s="21"/>
      <c r="X9" s="21"/>
      <c r="Y9" s="21"/>
      <c r="Z9" s="21">
        <v>1</v>
      </c>
      <c r="AA9" s="21">
        <v>1</v>
      </c>
      <c r="AB9" s="21">
        <v>2</v>
      </c>
      <c r="AC9" s="21">
        <v>1</v>
      </c>
      <c r="AD9" s="21"/>
      <c r="AE9" s="21"/>
      <c r="AF9" s="21"/>
      <c r="AG9" s="21"/>
      <c r="AH9" s="21"/>
      <c r="AI9" s="21"/>
      <c r="AJ9" s="21"/>
      <c r="AK9" s="21"/>
      <c r="AL9" s="9">
        <f t="shared" si="0"/>
        <v>9</v>
      </c>
      <c r="AM9" s="9">
        <f t="shared" si="1"/>
        <v>13</v>
      </c>
      <c r="AN9" s="89">
        <f t="shared" si="2"/>
        <v>1.4444444444444444</v>
      </c>
      <c r="AO9" s="190">
        <f t="shared" si="3"/>
        <v>39</v>
      </c>
      <c r="AP9" s="9">
        <f t="shared" si="4"/>
        <v>31</v>
      </c>
    </row>
    <row r="10" spans="1:42">
      <c r="A10" s="2" t="s">
        <v>44</v>
      </c>
      <c r="B10" s="84" t="str">
        <f>LOOKUP(A10,Soupiska!$A$3:$A$27,Soupiska!$B$3:$B$27)</f>
        <v>C</v>
      </c>
      <c r="C10" s="21">
        <v>2</v>
      </c>
      <c r="D10" s="21"/>
      <c r="E10" s="21"/>
      <c r="F10" s="21">
        <v>1</v>
      </c>
      <c r="G10" s="21">
        <v>1</v>
      </c>
      <c r="H10" s="21">
        <v>1</v>
      </c>
      <c r="I10" s="21"/>
      <c r="J10" s="21"/>
      <c r="K10" s="21">
        <v>0</v>
      </c>
      <c r="L10" s="21"/>
      <c r="M10" s="21"/>
      <c r="N10" s="21">
        <v>0</v>
      </c>
      <c r="O10" s="21"/>
      <c r="P10" s="21">
        <v>1</v>
      </c>
      <c r="Q10" s="44"/>
      <c r="R10" s="165">
        <v>1</v>
      </c>
      <c r="S10" s="21">
        <v>1</v>
      </c>
      <c r="T10" s="21">
        <v>1</v>
      </c>
      <c r="U10" s="21"/>
      <c r="V10" s="21"/>
      <c r="W10" s="21">
        <v>0</v>
      </c>
      <c r="X10" s="21">
        <v>1</v>
      </c>
      <c r="Y10" s="21"/>
      <c r="Z10" s="21">
        <v>0</v>
      </c>
      <c r="AA10" s="21">
        <v>1</v>
      </c>
      <c r="AB10" s="21">
        <v>1</v>
      </c>
      <c r="AC10" s="21">
        <v>0</v>
      </c>
      <c r="AD10" s="21"/>
      <c r="AE10" s="21"/>
      <c r="AF10" s="21"/>
      <c r="AG10" s="21"/>
      <c r="AH10" s="21"/>
      <c r="AI10" s="21"/>
      <c r="AJ10" s="21"/>
      <c r="AK10" s="21"/>
      <c r="AL10" s="9">
        <f t="shared" si="0"/>
        <v>16</v>
      </c>
      <c r="AM10" s="9">
        <f t="shared" si="1"/>
        <v>12</v>
      </c>
      <c r="AN10" s="89">
        <f t="shared" si="2"/>
        <v>0.75</v>
      </c>
      <c r="AO10" s="190">
        <f t="shared" si="3"/>
        <v>26</v>
      </c>
      <c r="AP10" s="9">
        <f t="shared" si="4"/>
        <v>44</v>
      </c>
    </row>
    <row r="11" spans="1:42">
      <c r="A11" s="2" t="s">
        <v>45</v>
      </c>
      <c r="B11" s="84" t="str">
        <f>LOOKUP(A11,Soupiska!$A$3:$A$27,Soupiska!$B$3:$B$27)</f>
        <v>B</v>
      </c>
      <c r="C11" s="21"/>
      <c r="D11" s="21">
        <v>2</v>
      </c>
      <c r="E11" s="21">
        <v>1</v>
      </c>
      <c r="F11" s="21">
        <v>1</v>
      </c>
      <c r="G11" s="21">
        <v>1</v>
      </c>
      <c r="H11" s="21">
        <v>1</v>
      </c>
      <c r="I11" s="21">
        <v>2</v>
      </c>
      <c r="J11" s="21">
        <v>1</v>
      </c>
      <c r="K11" s="21">
        <v>2</v>
      </c>
      <c r="L11" s="21">
        <v>2</v>
      </c>
      <c r="M11" s="21">
        <v>2</v>
      </c>
      <c r="N11" s="21">
        <v>1</v>
      </c>
      <c r="O11" s="21">
        <v>0</v>
      </c>
      <c r="P11" s="21">
        <v>1</v>
      </c>
      <c r="Q11" s="44"/>
      <c r="R11" s="165">
        <v>2</v>
      </c>
      <c r="S11" s="21"/>
      <c r="T11" s="21">
        <v>1</v>
      </c>
      <c r="U11" s="21">
        <v>0</v>
      </c>
      <c r="V11" s="21">
        <v>0</v>
      </c>
      <c r="W11" s="21">
        <v>2</v>
      </c>
      <c r="X11" s="21">
        <v>1</v>
      </c>
      <c r="Y11" s="21">
        <v>0</v>
      </c>
      <c r="Z11" s="21">
        <v>1</v>
      </c>
      <c r="AA11" s="21">
        <v>1</v>
      </c>
      <c r="AB11" s="21">
        <v>1</v>
      </c>
      <c r="AC11" s="21">
        <v>1</v>
      </c>
      <c r="AD11" s="21"/>
      <c r="AE11" s="21"/>
      <c r="AF11" s="21"/>
      <c r="AG11" s="21"/>
      <c r="AH11" s="21"/>
      <c r="AI11" s="21"/>
      <c r="AJ11" s="21"/>
      <c r="AK11" s="21"/>
      <c r="AL11" s="9">
        <f t="shared" si="0"/>
        <v>24</v>
      </c>
      <c r="AM11" s="9">
        <f t="shared" si="1"/>
        <v>27</v>
      </c>
      <c r="AN11" s="89">
        <f t="shared" si="2"/>
        <v>1.125</v>
      </c>
      <c r="AO11" s="190">
        <f t="shared" si="3"/>
        <v>-5</v>
      </c>
      <c r="AP11" s="9">
        <f t="shared" si="4"/>
        <v>70</v>
      </c>
    </row>
    <row r="12" spans="1:42">
      <c r="A12" s="2" t="s">
        <v>46</v>
      </c>
      <c r="B12" s="84" t="str">
        <f>LOOKUP(A12,Soupiska!$A$3:$A$27,Soupiska!$B$3:$B$27)</f>
        <v>C</v>
      </c>
      <c r="C12" s="21"/>
      <c r="D12" s="21">
        <v>1</v>
      </c>
      <c r="E12" s="21"/>
      <c r="F12" s="21">
        <v>1</v>
      </c>
      <c r="G12" s="21">
        <v>1</v>
      </c>
      <c r="H12" s="21"/>
      <c r="I12" s="21"/>
      <c r="J12" s="21"/>
      <c r="K12" s="21">
        <v>1</v>
      </c>
      <c r="L12" s="21">
        <v>2</v>
      </c>
      <c r="M12" s="21"/>
      <c r="N12" s="21"/>
      <c r="O12" s="21"/>
      <c r="P12" s="21">
        <v>1</v>
      </c>
      <c r="Q12" s="44"/>
      <c r="R12" s="165">
        <v>1</v>
      </c>
      <c r="S12" s="21">
        <v>2</v>
      </c>
      <c r="T12" s="21"/>
      <c r="U12" s="21"/>
      <c r="V12" s="21"/>
      <c r="W12" s="21">
        <v>1</v>
      </c>
      <c r="X12" s="21"/>
      <c r="Y12" s="21"/>
      <c r="Z12" s="21">
        <v>0</v>
      </c>
      <c r="AA12" s="21"/>
      <c r="AB12" s="21">
        <v>0</v>
      </c>
      <c r="AC12" s="21">
        <v>0</v>
      </c>
      <c r="AD12" s="21"/>
      <c r="AE12" s="21"/>
      <c r="AF12" s="21"/>
      <c r="AG12" s="21"/>
      <c r="AH12" s="21"/>
      <c r="AI12" s="21"/>
      <c r="AJ12" s="21"/>
      <c r="AK12" s="21"/>
      <c r="AL12" s="9">
        <f t="shared" si="0"/>
        <v>12</v>
      </c>
      <c r="AM12" s="9">
        <f t="shared" si="1"/>
        <v>11</v>
      </c>
      <c r="AN12" s="89">
        <f t="shared" si="2"/>
        <v>0.91666666666666663</v>
      </c>
      <c r="AO12" s="190">
        <f t="shared" si="3"/>
        <v>35</v>
      </c>
      <c r="AP12" s="9">
        <f t="shared" si="4"/>
        <v>35</v>
      </c>
    </row>
    <row r="13" spans="1:42">
      <c r="A13" s="2" t="s">
        <v>48</v>
      </c>
      <c r="B13" s="84" t="str">
        <f>LOOKUP(A13,Soupiska!$A$3:$A$27,Soupiska!$B$3:$B$27)</f>
        <v>A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>
        <v>1</v>
      </c>
      <c r="N13" s="21"/>
      <c r="O13" s="21"/>
      <c r="P13" s="21"/>
      <c r="Q13" s="44"/>
      <c r="R13" s="16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9">
        <f t="shared" si="0"/>
        <v>1</v>
      </c>
      <c r="AM13" s="9">
        <f t="shared" si="1"/>
        <v>1</v>
      </c>
      <c r="AN13" s="89">
        <f t="shared" si="2"/>
        <v>1</v>
      </c>
      <c r="AO13" s="190">
        <f t="shared" si="3"/>
        <v>67</v>
      </c>
      <c r="AP13" s="9">
        <f t="shared" si="4"/>
        <v>3</v>
      </c>
    </row>
    <row r="14" spans="1:42">
      <c r="A14" s="2" t="s">
        <v>49</v>
      </c>
      <c r="B14" s="84" t="str">
        <f>LOOKUP(A14,Soupiska!$A$3:$A$27,Soupiska!$B$3:$B$27)</f>
        <v>D</v>
      </c>
      <c r="C14" s="21"/>
      <c r="D14" s="21"/>
      <c r="E14" s="21"/>
      <c r="F14" s="21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21"/>
      <c r="O14" s="21"/>
      <c r="P14" s="21"/>
      <c r="Q14" s="44"/>
      <c r="R14" s="165"/>
      <c r="S14" s="21">
        <v>0</v>
      </c>
      <c r="T14" s="21"/>
      <c r="U14" s="21"/>
      <c r="V14" s="21"/>
      <c r="W14" s="21"/>
      <c r="X14" s="21">
        <v>0</v>
      </c>
      <c r="Y14" s="21"/>
      <c r="Z14" s="21">
        <v>0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9">
        <f t="shared" si="0"/>
        <v>9</v>
      </c>
      <c r="AM14" s="9">
        <f t="shared" si="1"/>
        <v>0</v>
      </c>
      <c r="AN14" s="89">
        <f t="shared" si="2"/>
        <v>0</v>
      </c>
      <c r="AO14" s="190">
        <f t="shared" si="3"/>
        <v>52</v>
      </c>
      <c r="AP14" s="9">
        <f t="shared" si="4"/>
        <v>18</v>
      </c>
    </row>
    <row r="15" spans="1:42">
      <c r="A15" s="2" t="s">
        <v>159</v>
      </c>
      <c r="B15" s="84" t="str">
        <f>LOOKUP(A15,Soupiska!$A$3:$A$27,Soupiska!$B$3:$B$27)</f>
        <v>C</v>
      </c>
      <c r="C15" s="21">
        <v>1</v>
      </c>
      <c r="D15" s="21">
        <v>2</v>
      </c>
      <c r="E15" s="21"/>
      <c r="F15" s="21"/>
      <c r="G15" s="21">
        <v>2</v>
      </c>
      <c r="H15" s="21">
        <v>2</v>
      </c>
      <c r="I15" s="21"/>
      <c r="J15" s="21">
        <v>0</v>
      </c>
      <c r="K15" s="21">
        <v>2</v>
      </c>
      <c r="L15" s="21">
        <v>2</v>
      </c>
      <c r="M15" s="21">
        <v>1</v>
      </c>
      <c r="N15" s="21">
        <v>1</v>
      </c>
      <c r="O15" s="21"/>
      <c r="P15" s="21"/>
      <c r="Q15" s="44"/>
      <c r="R15" s="165"/>
      <c r="S15" s="21"/>
      <c r="T15" s="21"/>
      <c r="U15" s="21"/>
      <c r="V15" s="21"/>
      <c r="W15" s="21">
        <v>2</v>
      </c>
      <c r="X15" s="21"/>
      <c r="Y15" s="21"/>
      <c r="Z15" s="21">
        <v>1</v>
      </c>
      <c r="AA15" s="21"/>
      <c r="AB15" s="21"/>
      <c r="AC15" s="21">
        <v>2</v>
      </c>
      <c r="AD15" s="21"/>
      <c r="AE15" s="21"/>
      <c r="AF15" s="21"/>
      <c r="AG15" s="21"/>
      <c r="AH15" s="21"/>
      <c r="AI15" s="21"/>
      <c r="AJ15" s="21"/>
      <c r="AK15" s="21"/>
      <c r="AL15" s="9">
        <f t="shared" ref="AL15" si="5">COUNTA(C15:AK15)</f>
        <v>12</v>
      </c>
      <c r="AM15" s="9">
        <f t="shared" ref="AM15" si="6">SUM(C15:AK15)</f>
        <v>18</v>
      </c>
      <c r="AN15" s="89">
        <f t="shared" ref="AN15" si="7">IF(ISERROR(AM15/AL15),"NIC",AM15/AL15)</f>
        <v>1.5</v>
      </c>
      <c r="AO15" s="190">
        <f t="shared" si="3"/>
        <v>28</v>
      </c>
      <c r="AP15" s="9">
        <f t="shared" si="4"/>
        <v>42</v>
      </c>
    </row>
    <row r="16" spans="1:42">
      <c r="A16" s="2" t="s">
        <v>50</v>
      </c>
      <c r="B16" s="84" t="str">
        <f>LOOKUP(A16,Soupiska!$A$3:$A$27,Soupiska!$B$3:$B$27)</f>
        <v>D</v>
      </c>
      <c r="C16" s="21"/>
      <c r="D16" s="21"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4"/>
      <c r="R16" s="16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9">
        <f t="shared" si="0"/>
        <v>1</v>
      </c>
      <c r="AM16" s="9">
        <f t="shared" si="1"/>
        <v>0</v>
      </c>
      <c r="AN16" s="89">
        <f t="shared" si="2"/>
        <v>0</v>
      </c>
      <c r="AO16" s="190">
        <f t="shared" si="3"/>
        <v>68</v>
      </c>
      <c r="AP16" s="9">
        <f t="shared" si="4"/>
        <v>2</v>
      </c>
    </row>
    <row r="17" spans="1:42">
      <c r="A17" s="2" t="s">
        <v>122</v>
      </c>
      <c r="B17" s="84" t="str">
        <f>LOOKUP(A17,Soupiska!$A$3:$A$27,Soupiska!$B$3:$B$27)</f>
        <v>D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44"/>
      <c r="R17" s="16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9">
        <f t="shared" si="0"/>
        <v>0</v>
      </c>
      <c r="AM17" s="9">
        <f t="shared" si="1"/>
        <v>0</v>
      </c>
      <c r="AN17" s="89" t="str">
        <f t="shared" si="2"/>
        <v>NIC</v>
      </c>
      <c r="AO17" s="190">
        <f t="shared" si="3"/>
        <v>70</v>
      </c>
      <c r="AP17" s="9">
        <f t="shared" si="4"/>
        <v>0</v>
      </c>
    </row>
    <row r="18" spans="1:42">
      <c r="A18" s="2" t="s">
        <v>51</v>
      </c>
      <c r="B18" s="84" t="str">
        <f>LOOKUP(A18,Soupiska!$A$3:$A$27,Soupiska!$B$3:$B$27)</f>
        <v>D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4"/>
      <c r="R18" s="16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9">
        <f t="shared" si="0"/>
        <v>0</v>
      </c>
      <c r="AM18" s="9">
        <f t="shared" si="1"/>
        <v>0</v>
      </c>
      <c r="AN18" s="89" t="str">
        <f t="shared" si="2"/>
        <v>NIC</v>
      </c>
      <c r="AO18" s="190">
        <f t="shared" si="3"/>
        <v>70</v>
      </c>
      <c r="AP18" s="9">
        <f t="shared" si="4"/>
        <v>0</v>
      </c>
    </row>
    <row r="19" spans="1:42">
      <c r="A19" s="2" t="s">
        <v>52</v>
      </c>
      <c r="B19" s="84" t="str">
        <f>LOOKUP(A19,Soupiska!$A$3:$A$27,Soupiska!$B$3:$B$27)</f>
        <v>C</v>
      </c>
      <c r="C19" s="21">
        <v>0</v>
      </c>
      <c r="D19" s="21"/>
      <c r="E19" s="21"/>
      <c r="F19" s="21"/>
      <c r="G19" s="21">
        <v>1</v>
      </c>
      <c r="H19" s="21"/>
      <c r="I19" s="21"/>
      <c r="J19" s="21"/>
      <c r="K19" s="21"/>
      <c r="L19" s="21"/>
      <c r="M19" s="21"/>
      <c r="N19" s="21"/>
      <c r="O19" s="21"/>
      <c r="P19" s="21">
        <v>1</v>
      </c>
      <c r="Q19" s="44"/>
      <c r="R19" s="165"/>
      <c r="S19" s="21"/>
      <c r="T19" s="21"/>
      <c r="U19" s="21"/>
      <c r="V19" s="21"/>
      <c r="W19" s="21"/>
      <c r="X19" s="21">
        <v>0</v>
      </c>
      <c r="Y19" s="21"/>
      <c r="Z19" s="21"/>
      <c r="AA19" s="21">
        <v>0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9">
        <f t="shared" si="0"/>
        <v>5</v>
      </c>
      <c r="AM19" s="9">
        <f t="shared" si="1"/>
        <v>2</v>
      </c>
      <c r="AN19" s="89">
        <f t="shared" si="2"/>
        <v>0.4</v>
      </c>
      <c r="AO19" s="190">
        <f t="shared" si="3"/>
        <v>58</v>
      </c>
      <c r="AP19" s="9">
        <f t="shared" si="4"/>
        <v>12</v>
      </c>
    </row>
    <row r="20" spans="1:42">
      <c r="A20" s="2" t="s">
        <v>53</v>
      </c>
      <c r="B20" s="84" t="str">
        <f>LOOKUP(A20,Soupiska!$A$3:$A$27,Soupiska!$B$3:$B$27)</f>
        <v>A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44"/>
      <c r="R20" s="16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9">
        <f t="shared" si="0"/>
        <v>0</v>
      </c>
      <c r="AM20" s="9">
        <f t="shared" si="1"/>
        <v>0</v>
      </c>
      <c r="AN20" s="89" t="str">
        <f t="shared" si="2"/>
        <v>NIC</v>
      </c>
      <c r="AO20" s="190">
        <f t="shared" si="3"/>
        <v>70</v>
      </c>
      <c r="AP20" s="9">
        <f t="shared" si="4"/>
        <v>0</v>
      </c>
    </row>
    <row r="21" spans="1:42">
      <c r="A21" s="2" t="s">
        <v>54</v>
      </c>
      <c r="B21" s="84" t="str">
        <f>LOOKUP(A21,Soupiska!$A$3:$A$27,Soupiska!$B$3:$B$27)</f>
        <v>D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4"/>
      <c r="R21" s="16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9">
        <f t="shared" si="0"/>
        <v>0</v>
      </c>
      <c r="AM21" s="9">
        <f t="shared" si="1"/>
        <v>0</v>
      </c>
      <c r="AN21" s="89" t="str">
        <f t="shared" si="2"/>
        <v>NIC</v>
      </c>
      <c r="AO21" s="190">
        <f t="shared" si="3"/>
        <v>70</v>
      </c>
      <c r="AP21" s="9">
        <f t="shared" si="4"/>
        <v>0</v>
      </c>
    </row>
    <row r="22" spans="1:42">
      <c r="A22" s="2" t="s">
        <v>55</v>
      </c>
      <c r="B22" s="84" t="str">
        <f>LOOKUP(A22,Soupiska!$A$3:$A$27,Soupiska!$B$3:$B$27)</f>
        <v>D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4"/>
      <c r="R22" s="16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9">
        <f t="shared" si="0"/>
        <v>0</v>
      </c>
      <c r="AM22" s="9">
        <f t="shared" si="1"/>
        <v>0</v>
      </c>
      <c r="AN22" s="89" t="str">
        <f t="shared" si="2"/>
        <v>NIC</v>
      </c>
      <c r="AO22" s="190">
        <f t="shared" si="3"/>
        <v>70</v>
      </c>
      <c r="AP22" s="9">
        <f t="shared" si="4"/>
        <v>0</v>
      </c>
    </row>
    <row r="23" spans="1:42">
      <c r="A23" s="2" t="s">
        <v>56</v>
      </c>
      <c r="B23" s="84" t="str">
        <f>LOOKUP(A23,Soupiska!$A$3:$A$27,Soupiska!$B$3:$B$27)</f>
        <v>D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4"/>
      <c r="R23" s="16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9">
        <f t="shared" si="0"/>
        <v>0</v>
      </c>
      <c r="AM23" s="9">
        <f t="shared" si="1"/>
        <v>0</v>
      </c>
      <c r="AN23" s="89" t="str">
        <f t="shared" si="2"/>
        <v>NIC</v>
      </c>
      <c r="AO23" s="190">
        <f t="shared" si="3"/>
        <v>70</v>
      </c>
      <c r="AP23" s="9">
        <f t="shared" si="4"/>
        <v>0</v>
      </c>
    </row>
    <row r="24" spans="1:42">
      <c r="A24" s="2" t="s">
        <v>95</v>
      </c>
      <c r="B24" s="84" t="str">
        <f>LOOKUP(A24,Soupiska!$A$3:$A$27,Soupiska!$B$3:$B$27)</f>
        <v>B</v>
      </c>
      <c r="C24" s="21">
        <v>1</v>
      </c>
      <c r="D24" s="21">
        <v>2</v>
      </c>
      <c r="E24" s="21"/>
      <c r="F24" s="21"/>
      <c r="G24" s="21">
        <v>2</v>
      </c>
      <c r="H24" s="21"/>
      <c r="I24" s="21">
        <v>0</v>
      </c>
      <c r="J24" s="21">
        <v>1</v>
      </c>
      <c r="K24" s="21">
        <v>2</v>
      </c>
      <c r="L24" s="21">
        <v>2</v>
      </c>
      <c r="M24" s="21"/>
      <c r="N24" s="21">
        <v>1</v>
      </c>
      <c r="O24" s="21"/>
      <c r="P24" s="21"/>
      <c r="Q24" s="44"/>
      <c r="R24" s="165"/>
      <c r="S24" s="21"/>
      <c r="T24" s="21"/>
      <c r="U24" s="21"/>
      <c r="V24" s="21"/>
      <c r="W24" s="21"/>
      <c r="X24" s="21"/>
      <c r="Y24" s="21"/>
      <c r="Z24" s="21">
        <v>2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9">
        <f t="shared" si="0"/>
        <v>9</v>
      </c>
      <c r="AM24" s="9">
        <f t="shared" si="1"/>
        <v>13</v>
      </c>
      <c r="AN24" s="89">
        <f t="shared" si="2"/>
        <v>1.4444444444444444</v>
      </c>
      <c r="AO24" s="190">
        <f t="shared" si="3"/>
        <v>39</v>
      </c>
      <c r="AP24" s="9">
        <f t="shared" si="4"/>
        <v>31</v>
      </c>
    </row>
    <row r="25" spans="1:42">
      <c r="A25" s="2" t="s">
        <v>57</v>
      </c>
      <c r="B25" s="84" t="str">
        <f>LOOKUP(A25,Soupiska!$A$3:$A$27,Soupiska!$B$3:$B$27)</f>
        <v>A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4"/>
      <c r="R25" s="16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9">
        <f t="shared" si="0"/>
        <v>0</v>
      </c>
      <c r="AM25" s="9">
        <f t="shared" si="1"/>
        <v>0</v>
      </c>
      <c r="AN25" s="89" t="str">
        <f t="shared" si="2"/>
        <v>NIC</v>
      </c>
      <c r="AO25" s="190">
        <f t="shared" si="3"/>
        <v>70</v>
      </c>
      <c r="AP25" s="9">
        <f t="shared" si="4"/>
        <v>0</v>
      </c>
    </row>
    <row r="26" spans="1:42">
      <c r="A26" s="2" t="s">
        <v>58</v>
      </c>
      <c r="B26" s="84" t="str">
        <f>LOOKUP(A26,Soupiska!$A$3:$A$27,Soupiska!$B$3:$B$27)</f>
        <v>D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4"/>
      <c r="R26" s="16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9">
        <f t="shared" si="0"/>
        <v>0</v>
      </c>
      <c r="AM26" s="9">
        <f t="shared" si="1"/>
        <v>0</v>
      </c>
      <c r="AN26" s="89" t="str">
        <f t="shared" si="2"/>
        <v>NIC</v>
      </c>
      <c r="AO26" s="190">
        <f t="shared" si="3"/>
        <v>70</v>
      </c>
      <c r="AP26" s="9">
        <f t="shared" si="4"/>
        <v>0</v>
      </c>
    </row>
    <row r="27" spans="1:42">
      <c r="A27" s="2" t="s">
        <v>59</v>
      </c>
      <c r="B27" s="84" t="str">
        <f>LOOKUP(A27,Soupiska!$A$3:$A$27,Soupiska!$B$3:$B$27)</f>
        <v>D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4"/>
      <c r="R27" s="16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9">
        <f t="shared" si="0"/>
        <v>0</v>
      </c>
      <c r="AM27" s="9">
        <f t="shared" si="1"/>
        <v>0</v>
      </c>
      <c r="AN27" s="89" t="str">
        <f t="shared" si="2"/>
        <v>NIC</v>
      </c>
      <c r="AO27" s="190">
        <f t="shared" si="3"/>
        <v>70</v>
      </c>
      <c r="AP27" s="9">
        <f t="shared" si="4"/>
        <v>0</v>
      </c>
    </row>
    <row r="28" spans="1:42" ht="12.75" customHeight="1" thickBot="1">
      <c r="A28" s="63"/>
      <c r="B28" s="63"/>
      <c r="C28" s="180">
        <f t="shared" ref="C28:AK28" si="8">COUNTA(C3:C27)</f>
        <v>6</v>
      </c>
      <c r="D28" s="180">
        <f t="shared" si="8"/>
        <v>8</v>
      </c>
      <c r="E28" s="180">
        <f t="shared" si="8"/>
        <v>4</v>
      </c>
      <c r="F28" s="180">
        <f t="shared" si="8"/>
        <v>4</v>
      </c>
      <c r="G28" s="180">
        <f t="shared" si="8"/>
        <v>8</v>
      </c>
      <c r="H28" s="180">
        <f t="shared" si="8"/>
        <v>5</v>
      </c>
      <c r="I28" s="180">
        <f t="shared" si="8"/>
        <v>7</v>
      </c>
      <c r="J28" s="180">
        <f t="shared" si="8"/>
        <v>5</v>
      </c>
      <c r="K28" s="180">
        <f t="shared" si="8"/>
        <v>8</v>
      </c>
      <c r="L28" s="180">
        <f t="shared" si="8"/>
        <v>9</v>
      </c>
      <c r="M28" s="180">
        <f t="shared" si="8"/>
        <v>6</v>
      </c>
      <c r="N28" s="180">
        <f t="shared" si="8"/>
        <v>6</v>
      </c>
      <c r="O28" s="180">
        <f t="shared" si="8"/>
        <v>2</v>
      </c>
      <c r="P28" s="180">
        <f t="shared" si="8"/>
        <v>5</v>
      </c>
      <c r="Q28" s="180">
        <f t="shared" si="8"/>
        <v>2</v>
      </c>
      <c r="R28" s="180">
        <f t="shared" si="8"/>
        <v>5</v>
      </c>
      <c r="S28" s="180">
        <f t="shared" si="8"/>
        <v>4</v>
      </c>
      <c r="T28" s="180">
        <f t="shared" si="8"/>
        <v>3</v>
      </c>
      <c r="U28" s="180">
        <f t="shared" si="8"/>
        <v>2</v>
      </c>
      <c r="V28" s="180">
        <f t="shared" si="8"/>
        <v>2</v>
      </c>
      <c r="W28" s="180">
        <f t="shared" si="8"/>
        <v>4</v>
      </c>
      <c r="X28" s="180">
        <f t="shared" si="8"/>
        <v>6</v>
      </c>
      <c r="Y28" s="180">
        <f t="shared" si="8"/>
        <v>2</v>
      </c>
      <c r="Z28" s="180">
        <f t="shared" si="8"/>
        <v>8</v>
      </c>
      <c r="AA28" s="180">
        <f t="shared" si="8"/>
        <v>5</v>
      </c>
      <c r="AB28" s="180">
        <f t="shared" si="8"/>
        <v>5</v>
      </c>
      <c r="AC28" s="180">
        <f t="shared" si="8"/>
        <v>5</v>
      </c>
      <c r="AD28" s="180">
        <f t="shared" si="8"/>
        <v>0</v>
      </c>
      <c r="AE28" s="180">
        <f t="shared" si="8"/>
        <v>0</v>
      </c>
      <c r="AF28" s="180">
        <f t="shared" si="8"/>
        <v>0</v>
      </c>
      <c r="AG28" s="180">
        <f t="shared" si="8"/>
        <v>0</v>
      </c>
      <c r="AH28" s="180">
        <f t="shared" si="8"/>
        <v>0</v>
      </c>
      <c r="AI28" s="180">
        <f t="shared" si="8"/>
        <v>0</v>
      </c>
      <c r="AJ28" s="180">
        <f t="shared" si="8"/>
        <v>0</v>
      </c>
      <c r="AK28" s="180">
        <f t="shared" si="8"/>
        <v>0</v>
      </c>
    </row>
    <row r="29" spans="1:42" ht="15.75" thickBot="1">
      <c r="B29" s="64"/>
      <c r="C29" s="275" t="s">
        <v>108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92" t="s">
        <v>136</v>
      </c>
      <c r="AM29" s="293"/>
      <c r="AN29" s="293"/>
      <c r="AO29" s="189"/>
      <c r="AP29" s="181">
        <f>AVERAGEIF(C28:AK28,"&lt;&gt;0",C28:AK28)</f>
        <v>5.0370370370370372</v>
      </c>
    </row>
    <row r="30" spans="1:42" ht="9.9499999999999993" customHeight="1">
      <c r="B30" s="64"/>
      <c r="C30" s="277" t="s">
        <v>74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9"/>
      <c r="P30" s="283" t="s">
        <v>73</v>
      </c>
      <c r="Q30" s="284"/>
      <c r="R30" s="283" t="s">
        <v>78</v>
      </c>
      <c r="S30" s="287"/>
      <c r="T30" s="287"/>
      <c r="U30" s="287"/>
      <c r="V30" s="287"/>
      <c r="W30" s="287"/>
      <c r="X30" s="287"/>
      <c r="Y30" s="288"/>
      <c r="Z30" s="283" t="s">
        <v>91</v>
      </c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8"/>
    </row>
    <row r="31" spans="1:42" ht="9.9499999999999993" customHeight="1" thickBot="1">
      <c r="B31" s="65"/>
      <c r="C31" s="280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  <c r="P31" s="285"/>
      <c r="Q31" s="286"/>
      <c r="R31" s="285" t="s">
        <v>100</v>
      </c>
      <c r="S31" s="289"/>
      <c r="T31" s="290" t="s">
        <v>99</v>
      </c>
      <c r="U31" s="289"/>
      <c r="V31" s="289" t="s">
        <v>97</v>
      </c>
      <c r="W31" s="289"/>
      <c r="X31" s="289" t="s">
        <v>98</v>
      </c>
      <c r="Y31" s="291"/>
      <c r="Z31" s="285" t="s">
        <v>100</v>
      </c>
      <c r="AA31" s="289"/>
      <c r="AB31" s="289"/>
      <c r="AC31" s="289" t="s">
        <v>99</v>
      </c>
      <c r="AD31" s="289"/>
      <c r="AE31" s="289"/>
      <c r="AF31" s="289" t="s">
        <v>97</v>
      </c>
      <c r="AG31" s="289"/>
      <c r="AH31" s="289"/>
      <c r="AI31" s="289" t="s">
        <v>98</v>
      </c>
      <c r="AJ31" s="289"/>
      <c r="AK31" s="291"/>
    </row>
    <row r="32" spans="1:42" ht="15.75" thickBot="1">
      <c r="C32" s="266" t="s">
        <v>77</v>
      </c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8"/>
      <c r="P32" s="269">
        <v>2</v>
      </c>
      <c r="Q32" s="270"/>
      <c r="R32" s="269">
        <v>1</v>
      </c>
      <c r="S32" s="271"/>
      <c r="T32" s="272">
        <v>1</v>
      </c>
      <c r="U32" s="271"/>
      <c r="V32" s="271">
        <v>1</v>
      </c>
      <c r="W32" s="271"/>
      <c r="X32" s="264">
        <v>2</v>
      </c>
      <c r="Y32" s="265"/>
      <c r="Z32" s="66">
        <f>P32</f>
        <v>2</v>
      </c>
      <c r="AA32" s="66" t="s">
        <v>79</v>
      </c>
      <c r="AB32" s="67" t="e">
        <f>(#REF!*R32)+P32</f>
        <v>#REF!</v>
      </c>
      <c r="AC32" s="68">
        <f>P32</f>
        <v>2</v>
      </c>
      <c r="AD32" s="66" t="s">
        <v>79</v>
      </c>
      <c r="AE32" s="67" t="e">
        <f>P32+(R32*#REF!)</f>
        <v>#REF!</v>
      </c>
      <c r="AF32" s="68">
        <f>P32</f>
        <v>2</v>
      </c>
      <c r="AG32" s="66" t="s">
        <v>79</v>
      </c>
      <c r="AH32" s="67" t="e">
        <f>P32+(V32*#REF!)</f>
        <v>#REF!</v>
      </c>
      <c r="AI32" s="69">
        <f>P32</f>
        <v>2</v>
      </c>
      <c r="AJ32" s="70" t="s">
        <v>79</v>
      </c>
      <c r="AK32" s="71" t="e">
        <f>(#REF!*X32)+P32</f>
        <v>#REF!</v>
      </c>
    </row>
  </sheetData>
  <mergeCells count="21">
    <mergeCell ref="A1:AP1"/>
    <mergeCell ref="C29:AK29"/>
    <mergeCell ref="C30:O31"/>
    <mergeCell ref="P30:Q31"/>
    <mergeCell ref="R30:Y30"/>
    <mergeCell ref="Z30:AK30"/>
    <mergeCell ref="R31:S31"/>
    <mergeCell ref="T31:U31"/>
    <mergeCell ref="V31:W31"/>
    <mergeCell ref="X31:Y31"/>
    <mergeCell ref="Z31:AB31"/>
    <mergeCell ref="AC31:AE31"/>
    <mergeCell ref="AF31:AH31"/>
    <mergeCell ref="AI31:AK31"/>
    <mergeCell ref="AL29:AN29"/>
    <mergeCell ref="X32:Y32"/>
    <mergeCell ref="C32:O32"/>
    <mergeCell ref="P32:Q32"/>
    <mergeCell ref="R32:S32"/>
    <mergeCell ref="T32:U32"/>
    <mergeCell ref="V32:W32"/>
  </mergeCells>
  <dataValidations count="1">
    <dataValidation showInputMessage="1" showErrorMessage="1" promptTitle="Upozornění !!!" sqref="A3:B27"/>
  </dataValidation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K13" sqref="K13"/>
    </sheetView>
  </sheetViews>
  <sheetFormatPr defaultRowHeight="15"/>
  <cols>
    <col min="1" max="1" width="19.42578125" customWidth="1"/>
    <col min="2" max="10" width="4.7109375" customWidth="1"/>
    <col min="11" max="12" width="5.7109375" customWidth="1"/>
    <col min="13" max="13" width="3.85546875" style="193" customWidth="1"/>
    <col min="14" max="14" width="8.7109375" style="11" customWidth="1"/>
  </cols>
  <sheetData>
    <row r="1" spans="1:14" ht="21.75" thickBot="1">
      <c r="A1" s="263" t="s">
        <v>121</v>
      </c>
      <c r="B1" s="263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ht="15.75" thickBot="1">
      <c r="A2" s="4" t="s">
        <v>36</v>
      </c>
      <c r="B2" s="80" t="s">
        <v>96</v>
      </c>
      <c r="C2" s="5" t="s">
        <v>62</v>
      </c>
      <c r="D2" s="5" t="s">
        <v>63</v>
      </c>
      <c r="E2" s="5" t="s">
        <v>0</v>
      </c>
      <c r="F2" s="5" t="s">
        <v>162</v>
      </c>
      <c r="G2" s="5" t="s">
        <v>66</v>
      </c>
      <c r="H2" s="5" t="s">
        <v>64</v>
      </c>
      <c r="I2" s="5" t="s">
        <v>65</v>
      </c>
      <c r="J2" s="5" t="s">
        <v>67</v>
      </c>
      <c r="K2" s="5" t="s">
        <v>163</v>
      </c>
      <c r="L2" s="5" t="s">
        <v>106</v>
      </c>
      <c r="M2" s="191" t="s">
        <v>147</v>
      </c>
      <c r="N2" s="7" t="s">
        <v>61</v>
      </c>
    </row>
    <row r="3" spans="1:14">
      <c r="A3" s="2" t="s">
        <v>38</v>
      </c>
      <c r="B3" s="84" t="str">
        <f>INDEX(Soupiska!$A$3:$B$27,MATCH(A3,Soupiska!$A$3:$A$27,0),2)</f>
        <v>D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92">
        <v>110</v>
      </c>
      <c r="N3" s="9">
        <f>IF(SUM(C3:L3)&gt;120,SUM(C3:L3)+M3,SUM(C3:L3))</f>
        <v>0</v>
      </c>
    </row>
    <row r="4" spans="1:14">
      <c r="A4" s="2" t="s">
        <v>124</v>
      </c>
      <c r="B4" s="84" t="str">
        <f>INDEX(Soupiska!$A$3:$B$27,MATCH(A4,Soupiska!$A$3:$A$27,0),2)</f>
        <v>B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92">
        <v>110</v>
      </c>
      <c r="N4" s="9">
        <f t="shared" ref="N4:N27" si="0">IF(SUM(C4:L4)&gt;120,SUM(C4:L4)+M4,SUM(C4:L4))</f>
        <v>0</v>
      </c>
    </row>
    <row r="5" spans="1:14">
      <c r="A5" s="2" t="s">
        <v>39</v>
      </c>
      <c r="B5" s="84" t="str">
        <f>INDEX(Soupiska!$A$3:$B$27,MATCH(A5,Soupiska!$A$3:$A$27,0),2)</f>
        <v>B</v>
      </c>
      <c r="C5" s="12"/>
      <c r="D5" s="12">
        <v>14</v>
      </c>
      <c r="E5" s="12"/>
      <c r="F5" s="12">
        <v>7</v>
      </c>
      <c r="G5" s="12"/>
      <c r="H5" s="12"/>
      <c r="I5" s="12">
        <v>10</v>
      </c>
      <c r="J5" s="12"/>
      <c r="K5" s="12">
        <v>6</v>
      </c>
      <c r="L5" s="12"/>
      <c r="M5" s="192">
        <v>110</v>
      </c>
      <c r="N5" s="9">
        <f t="shared" si="0"/>
        <v>37</v>
      </c>
    </row>
    <row r="6" spans="1:14">
      <c r="A6" s="2" t="s">
        <v>40</v>
      </c>
      <c r="B6" s="84" t="str">
        <f>INDEX(Soupiska!$A$3:$B$27,MATCH(A6,Soupiska!$A$3:$A$27,0),2)</f>
        <v>D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92">
        <v>110</v>
      </c>
      <c r="N6" s="9">
        <f t="shared" si="0"/>
        <v>0</v>
      </c>
    </row>
    <row r="7" spans="1:14">
      <c r="A7" s="2" t="s">
        <v>41</v>
      </c>
      <c r="B7" s="84" t="str">
        <f>INDEX(Soupiska!$A$3:$B$27,MATCH(A7,Soupiska!$A$3:$A$27,0),2)</f>
        <v>D</v>
      </c>
      <c r="C7" s="12"/>
      <c r="D7" s="12"/>
      <c r="E7" s="12"/>
      <c r="F7" s="12"/>
      <c r="G7" s="12"/>
      <c r="H7" s="12"/>
      <c r="I7" s="12"/>
      <c r="J7" s="12"/>
      <c r="K7" s="12">
        <v>5</v>
      </c>
      <c r="L7" s="12"/>
      <c r="M7" s="192">
        <v>110</v>
      </c>
      <c r="N7" s="9">
        <f t="shared" si="0"/>
        <v>5</v>
      </c>
    </row>
    <row r="8" spans="1:14">
      <c r="A8" s="2" t="s">
        <v>42</v>
      </c>
      <c r="B8" s="84" t="str">
        <f>INDEX(Soupiska!$A$3:$B$27,MATCH(A8,Soupiska!$A$3:$A$27,0),2)</f>
        <v>A</v>
      </c>
      <c r="C8" s="12">
        <v>16</v>
      </c>
      <c r="D8" s="12"/>
      <c r="E8" s="12"/>
      <c r="F8" s="12">
        <v>10</v>
      </c>
      <c r="G8" s="12"/>
      <c r="H8" s="12"/>
      <c r="I8" s="12"/>
      <c r="J8" s="12"/>
      <c r="K8" s="12">
        <v>10</v>
      </c>
      <c r="L8" s="12"/>
      <c r="M8" s="192">
        <v>110</v>
      </c>
      <c r="N8" s="9">
        <f t="shared" si="0"/>
        <v>36</v>
      </c>
    </row>
    <row r="9" spans="1:14">
      <c r="A9" s="2" t="s">
        <v>43</v>
      </c>
      <c r="B9" s="84" t="str">
        <f>INDEX(Soupiska!$A$3:$B$27,MATCH(A9,Soupiska!$A$3:$A$27,0),2)</f>
        <v>B</v>
      </c>
      <c r="C9" s="12"/>
      <c r="D9" s="12"/>
      <c r="E9" s="12"/>
      <c r="F9" s="12">
        <v>8</v>
      </c>
      <c r="G9" s="12"/>
      <c r="H9" s="12">
        <v>10</v>
      </c>
      <c r="I9" s="12"/>
      <c r="J9" s="12"/>
      <c r="K9" s="12">
        <v>7</v>
      </c>
      <c r="L9" s="12"/>
      <c r="M9" s="192">
        <v>110</v>
      </c>
      <c r="N9" s="9">
        <f t="shared" si="0"/>
        <v>25</v>
      </c>
    </row>
    <row r="10" spans="1:14">
      <c r="A10" s="2" t="s">
        <v>44</v>
      </c>
      <c r="B10" s="84" t="str">
        <f>INDEX(Soupiska!$A$3:$B$27,MATCH(A10,Soupiska!$A$3:$A$27,0),2)</f>
        <v>C</v>
      </c>
      <c r="C10" s="12">
        <v>11</v>
      </c>
      <c r="D10" s="12">
        <v>9</v>
      </c>
      <c r="E10" s="12"/>
      <c r="F10" s="12"/>
      <c r="G10" s="12"/>
      <c r="H10" s="12">
        <v>15</v>
      </c>
      <c r="I10" s="12">
        <v>11</v>
      </c>
      <c r="J10" s="12"/>
      <c r="K10" s="12">
        <v>4</v>
      </c>
      <c r="L10" s="12"/>
      <c r="M10" s="192">
        <v>110</v>
      </c>
      <c r="N10" s="9">
        <f t="shared" si="0"/>
        <v>50</v>
      </c>
    </row>
    <row r="11" spans="1:14">
      <c r="A11" s="2" t="s">
        <v>45</v>
      </c>
      <c r="B11" s="84" t="str">
        <f>INDEX(Soupiska!$A$3:$B$27,MATCH(A11,Soupiska!$A$3:$A$27,0),2)</f>
        <v>B</v>
      </c>
      <c r="C11" s="12"/>
      <c r="D11" s="12"/>
      <c r="E11" s="12"/>
      <c r="F11" s="12">
        <v>6</v>
      </c>
      <c r="G11" s="12"/>
      <c r="H11" s="12"/>
      <c r="I11" s="12"/>
      <c r="J11" s="12"/>
      <c r="K11" s="12">
        <v>10</v>
      </c>
      <c r="L11" s="12"/>
      <c r="M11" s="192">
        <v>110</v>
      </c>
      <c r="N11" s="9">
        <f t="shared" si="0"/>
        <v>16</v>
      </c>
    </row>
    <row r="12" spans="1:14">
      <c r="A12" s="2" t="s">
        <v>46</v>
      </c>
      <c r="B12" s="84" t="str">
        <f>INDEX(Soupiska!$A$3:$B$27,MATCH(A12,Soupiska!$A$3:$A$27,0),2)</f>
        <v>C</v>
      </c>
      <c r="C12" s="12"/>
      <c r="D12" s="12"/>
      <c r="E12" s="12"/>
      <c r="F12" s="12"/>
      <c r="G12" s="12"/>
      <c r="H12" s="12"/>
      <c r="I12" s="12"/>
      <c r="J12" s="12"/>
      <c r="K12" s="12">
        <v>6</v>
      </c>
      <c r="L12" s="12"/>
      <c r="M12" s="192">
        <v>110</v>
      </c>
      <c r="N12" s="9">
        <f t="shared" si="0"/>
        <v>6</v>
      </c>
    </row>
    <row r="13" spans="1:14">
      <c r="A13" s="2" t="s">
        <v>48</v>
      </c>
      <c r="B13" s="84" t="str">
        <f>INDEX(Soupiska!$A$3:$B$27,MATCH(A13,Soupiska!$A$3:$A$27,0),2)</f>
        <v>A</v>
      </c>
      <c r="C13" s="12"/>
      <c r="D13" s="12"/>
      <c r="E13" s="12"/>
      <c r="F13" s="12">
        <v>6</v>
      </c>
      <c r="G13" s="12"/>
      <c r="H13" s="12"/>
      <c r="I13" s="12"/>
      <c r="J13" s="12"/>
      <c r="K13" s="12"/>
      <c r="L13" s="12"/>
      <c r="M13" s="192">
        <v>110</v>
      </c>
      <c r="N13" s="9">
        <f t="shared" si="0"/>
        <v>6</v>
      </c>
    </row>
    <row r="14" spans="1:14">
      <c r="A14" s="2" t="s">
        <v>49</v>
      </c>
      <c r="B14" s="84" t="str">
        <f>INDEX(Soupiska!$A$3:$B$27,MATCH(A14,Soupiska!$A$3:$A$27,0),2)</f>
        <v>D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92">
        <v>110</v>
      </c>
      <c r="N14" s="9">
        <f t="shared" si="0"/>
        <v>0</v>
      </c>
    </row>
    <row r="15" spans="1:14">
      <c r="A15" s="2" t="s">
        <v>159</v>
      </c>
      <c r="B15" s="84" t="str">
        <f>INDEX(Soupiska!$A$3:$B$27,MATCH(A15,Soupiska!$A$3:$A$27,0),2)</f>
        <v>C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2">
        <v>110</v>
      </c>
      <c r="N15" s="9">
        <f t="shared" ref="N15" si="1">IF(SUM(C15:L15)&gt;120,SUM(C15:L15)+M15,SUM(C15:L15))</f>
        <v>0</v>
      </c>
    </row>
    <row r="16" spans="1:14">
      <c r="A16" s="2" t="s">
        <v>50</v>
      </c>
      <c r="B16" s="84" t="str">
        <f>INDEX(Soupiska!$A$3:$B$27,MATCH(A16,Soupiska!$A$3:$A$27,0),2)</f>
        <v>D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92">
        <v>110</v>
      </c>
      <c r="N16" s="9">
        <f t="shared" si="0"/>
        <v>0</v>
      </c>
    </row>
    <row r="17" spans="1:14">
      <c r="A17" s="2" t="s">
        <v>122</v>
      </c>
      <c r="B17" s="84" t="str">
        <f>INDEX(Soupiska!$A$3:$B$27,MATCH(A17,Soupiska!$A$3:$A$27,0),2)</f>
        <v>D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92">
        <v>110</v>
      </c>
      <c r="N17" s="9">
        <f t="shared" si="0"/>
        <v>0</v>
      </c>
    </row>
    <row r="18" spans="1:14">
      <c r="A18" s="2" t="s">
        <v>51</v>
      </c>
      <c r="B18" s="84" t="str">
        <f>INDEX(Soupiska!$A$3:$B$27,MATCH(A18,Soupiska!$A$3:$A$27,0),2)</f>
        <v>D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92">
        <v>110</v>
      </c>
      <c r="N18" s="9">
        <f t="shared" si="0"/>
        <v>0</v>
      </c>
    </row>
    <row r="19" spans="1:14">
      <c r="A19" s="2" t="s">
        <v>52</v>
      </c>
      <c r="B19" s="84" t="str">
        <f>INDEX(Soupiska!$A$3:$B$27,MATCH(A19,Soupiska!$A$3:$A$27,0),2)</f>
        <v>C</v>
      </c>
      <c r="C19" s="12"/>
      <c r="D19" s="12"/>
      <c r="E19" s="12"/>
      <c r="F19" s="12">
        <v>5</v>
      </c>
      <c r="G19" s="12"/>
      <c r="H19" s="12"/>
      <c r="I19" s="12"/>
      <c r="J19" s="12"/>
      <c r="K19" s="12">
        <v>6</v>
      </c>
      <c r="L19" s="12"/>
      <c r="M19" s="192">
        <v>110</v>
      </c>
      <c r="N19" s="9">
        <f t="shared" si="0"/>
        <v>11</v>
      </c>
    </row>
    <row r="20" spans="1:14">
      <c r="A20" s="2" t="s">
        <v>53</v>
      </c>
      <c r="B20" s="84" t="str">
        <f>INDEX(Soupiska!$A$3:$B$27,MATCH(A20,Soupiska!$A$3:$A$27,0),2)</f>
        <v>A</v>
      </c>
      <c r="C20" s="12"/>
      <c r="D20" s="12"/>
      <c r="E20" s="12"/>
      <c r="F20" s="12">
        <v>10</v>
      </c>
      <c r="G20" s="12"/>
      <c r="H20" s="12">
        <v>18</v>
      </c>
      <c r="I20" s="12">
        <v>9</v>
      </c>
      <c r="J20" s="12">
        <v>14</v>
      </c>
      <c r="K20" s="12"/>
      <c r="L20" s="12"/>
      <c r="M20" s="192">
        <v>110</v>
      </c>
      <c r="N20" s="9">
        <f t="shared" si="0"/>
        <v>51</v>
      </c>
    </row>
    <row r="21" spans="1:14">
      <c r="A21" s="2" t="s">
        <v>54</v>
      </c>
      <c r="B21" s="84" t="str">
        <f>INDEX(Soupiska!$A$3:$B$27,MATCH(A21,Soupiska!$A$3:$A$27,0),2)</f>
        <v>D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92">
        <v>110</v>
      </c>
      <c r="N21" s="9">
        <f t="shared" si="0"/>
        <v>0</v>
      </c>
    </row>
    <row r="22" spans="1:14">
      <c r="A22" s="2" t="s">
        <v>55</v>
      </c>
      <c r="B22" s="84" t="str">
        <f>INDEX(Soupiska!$A$3:$B$27,MATCH(A22,Soupiska!$A$3:$A$27,0),2)</f>
        <v>D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92">
        <v>110</v>
      </c>
      <c r="N22" s="9">
        <f t="shared" si="0"/>
        <v>0</v>
      </c>
    </row>
    <row r="23" spans="1:14">
      <c r="A23" s="2" t="s">
        <v>56</v>
      </c>
      <c r="B23" s="84" t="str">
        <f>INDEX(Soupiska!$A$3:$B$27,MATCH(A23,Soupiska!$A$3:$A$27,0),2)</f>
        <v>D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92">
        <v>110</v>
      </c>
      <c r="N23" s="9">
        <f t="shared" si="0"/>
        <v>0</v>
      </c>
    </row>
    <row r="24" spans="1:14">
      <c r="A24" s="2" t="s">
        <v>95</v>
      </c>
      <c r="B24" s="84" t="str">
        <f>INDEX(Soupiska!$A$3:$B$27,MATCH(A24,Soupiska!$A$3:$A$27,0),2)</f>
        <v>B</v>
      </c>
      <c r="C24" s="12"/>
      <c r="D24" s="12"/>
      <c r="E24" s="12"/>
      <c r="F24" s="12">
        <v>9</v>
      </c>
      <c r="G24" s="12"/>
      <c r="H24" s="12"/>
      <c r="I24" s="12"/>
      <c r="J24" s="12"/>
      <c r="K24" s="12">
        <v>7</v>
      </c>
      <c r="L24" s="12"/>
      <c r="M24" s="192">
        <v>110</v>
      </c>
      <c r="N24" s="9">
        <f t="shared" si="0"/>
        <v>16</v>
      </c>
    </row>
    <row r="25" spans="1:14">
      <c r="A25" s="2" t="s">
        <v>57</v>
      </c>
      <c r="B25" s="84" t="str">
        <f>INDEX(Soupiska!$A$3:$B$27,MATCH(A25,Soupiska!$A$3:$A$27,0),2)</f>
        <v>A</v>
      </c>
      <c r="C25" s="12"/>
      <c r="D25" s="12"/>
      <c r="E25" s="12"/>
      <c r="F25" s="12">
        <v>6</v>
      </c>
      <c r="G25" s="12"/>
      <c r="H25" s="12"/>
      <c r="I25" s="12"/>
      <c r="J25" s="12"/>
      <c r="K25" s="12"/>
      <c r="L25" s="12"/>
      <c r="M25" s="192">
        <v>110</v>
      </c>
      <c r="N25" s="9">
        <f t="shared" si="0"/>
        <v>6</v>
      </c>
    </row>
    <row r="26" spans="1:14">
      <c r="A26" s="2" t="s">
        <v>58</v>
      </c>
      <c r="B26" s="84" t="str">
        <f>INDEX(Soupiska!$A$3:$B$27,MATCH(A26,Soupiska!$A$3:$A$27,0),2)</f>
        <v>D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92">
        <v>110</v>
      </c>
      <c r="N26" s="9">
        <f t="shared" si="0"/>
        <v>0</v>
      </c>
    </row>
    <row r="27" spans="1:14">
      <c r="A27" s="2" t="s">
        <v>59</v>
      </c>
      <c r="B27" s="84" t="str">
        <f>INDEX(Soupiska!$A$3:$B$27,MATCH(A27,Soupiska!$A$3:$A$27,0),2)</f>
        <v>D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92">
        <v>110</v>
      </c>
      <c r="N27" s="9">
        <f t="shared" si="0"/>
        <v>0</v>
      </c>
    </row>
    <row r="28" spans="1:14" ht="15.75" thickBot="1">
      <c r="B28" s="63"/>
    </row>
    <row r="29" spans="1:14">
      <c r="A29" s="306" t="s">
        <v>74</v>
      </c>
      <c r="B29" s="307"/>
      <c r="C29" s="308"/>
      <c r="D29" s="304" t="s">
        <v>73</v>
      </c>
      <c r="E29" s="312" t="s">
        <v>78</v>
      </c>
      <c r="F29" s="247"/>
      <c r="G29" s="313"/>
      <c r="H29" s="313"/>
      <c r="I29" s="314"/>
      <c r="J29" s="93"/>
      <c r="K29" s="93"/>
      <c r="L29" s="93"/>
      <c r="M29" s="194"/>
      <c r="N29" s="93"/>
    </row>
    <row r="30" spans="1:14" ht="15.75" thickBot="1">
      <c r="A30" s="309"/>
      <c r="B30" s="310"/>
      <c r="C30" s="311"/>
      <c r="D30" s="305"/>
      <c r="E30" s="50" t="s">
        <v>100</v>
      </c>
      <c r="F30" s="240"/>
      <c r="G30" s="75" t="s">
        <v>99</v>
      </c>
      <c r="H30" s="60" t="s">
        <v>97</v>
      </c>
      <c r="I30" s="51" t="s">
        <v>98</v>
      </c>
      <c r="J30" s="94"/>
      <c r="K30" s="94"/>
      <c r="L30" s="94"/>
      <c r="M30" s="195"/>
      <c r="N30" s="94"/>
    </row>
    <row r="31" spans="1:14">
      <c r="A31" s="298" t="s">
        <v>82</v>
      </c>
      <c r="B31" s="299"/>
      <c r="C31" s="300"/>
      <c r="D31" s="37">
        <v>4</v>
      </c>
      <c r="E31" s="38">
        <v>1</v>
      </c>
      <c r="F31" s="72"/>
      <c r="G31" s="40">
        <v>1</v>
      </c>
      <c r="H31" s="40">
        <v>1</v>
      </c>
      <c r="I31" s="39">
        <v>1</v>
      </c>
    </row>
    <row r="32" spans="1:14">
      <c r="A32" s="301" t="s">
        <v>137</v>
      </c>
      <c r="B32" s="302">
        <v>12</v>
      </c>
      <c r="C32" s="303" t="s">
        <v>83</v>
      </c>
      <c r="D32" s="42">
        <v>7</v>
      </c>
      <c r="E32" s="43">
        <v>1</v>
      </c>
      <c r="F32" s="73"/>
      <c r="G32" s="21">
        <v>1</v>
      </c>
      <c r="H32" s="21">
        <v>2</v>
      </c>
      <c r="I32" s="44">
        <v>4</v>
      </c>
    </row>
    <row r="33" spans="1:9">
      <c r="A33" s="182" t="s">
        <v>138</v>
      </c>
      <c r="B33" s="183"/>
      <c r="C33" s="184"/>
      <c r="D33" s="42">
        <v>0</v>
      </c>
      <c r="E33" s="43">
        <v>2</v>
      </c>
      <c r="F33" s="73"/>
      <c r="G33" s="21">
        <v>2</v>
      </c>
      <c r="H33" s="21">
        <v>4</v>
      </c>
      <c r="I33" s="44">
        <v>6</v>
      </c>
    </row>
    <row r="34" spans="1:9">
      <c r="A34" s="301" t="s">
        <v>84</v>
      </c>
      <c r="B34" s="302">
        <v>0</v>
      </c>
      <c r="C34" s="303" t="s">
        <v>84</v>
      </c>
      <c r="D34" s="42">
        <v>0</v>
      </c>
      <c r="E34" s="43">
        <v>1</v>
      </c>
      <c r="F34" s="73"/>
      <c r="G34" s="21">
        <v>1</v>
      </c>
      <c r="H34" s="21">
        <v>2</v>
      </c>
      <c r="I34" s="44">
        <v>3</v>
      </c>
    </row>
    <row r="35" spans="1:9">
      <c r="A35" s="301" t="s">
        <v>76</v>
      </c>
      <c r="B35" s="302">
        <v>12</v>
      </c>
      <c r="C35" s="303" t="s">
        <v>76</v>
      </c>
      <c r="D35" s="42">
        <v>7</v>
      </c>
      <c r="E35" s="43">
        <v>2</v>
      </c>
      <c r="F35" s="73"/>
      <c r="G35" s="21">
        <v>2</v>
      </c>
      <c r="H35" s="21">
        <v>4</v>
      </c>
      <c r="I35" s="44">
        <v>6</v>
      </c>
    </row>
    <row r="36" spans="1:9">
      <c r="A36" s="301" t="s">
        <v>75</v>
      </c>
      <c r="B36" s="302">
        <v>14</v>
      </c>
      <c r="C36" s="303" t="s">
        <v>75</v>
      </c>
      <c r="D36" s="42">
        <v>9</v>
      </c>
      <c r="E36" s="43">
        <v>3</v>
      </c>
      <c r="F36" s="73"/>
      <c r="G36" s="21">
        <v>4</v>
      </c>
      <c r="H36" s="21">
        <v>8</v>
      </c>
      <c r="I36" s="44">
        <v>15</v>
      </c>
    </row>
    <row r="37" spans="1:9" ht="15.75" thickBot="1">
      <c r="A37" s="294" t="s">
        <v>85</v>
      </c>
      <c r="B37" s="295">
        <v>6</v>
      </c>
      <c r="C37" s="296" t="s">
        <v>85</v>
      </c>
      <c r="D37" s="46">
        <v>5</v>
      </c>
      <c r="E37" s="47">
        <v>1</v>
      </c>
      <c r="F37" s="74"/>
      <c r="G37" s="22">
        <v>1</v>
      </c>
      <c r="H37" s="22">
        <v>3</v>
      </c>
      <c r="I37" s="48">
        <v>5</v>
      </c>
    </row>
  </sheetData>
  <sortState ref="A3:K27">
    <sortCondition ref="A3:A27"/>
  </sortState>
  <mergeCells count="10">
    <mergeCell ref="A37:C37"/>
    <mergeCell ref="A1:N1"/>
    <mergeCell ref="A31:C31"/>
    <mergeCell ref="A32:C32"/>
    <mergeCell ref="A34:C34"/>
    <mergeCell ref="A35:C35"/>
    <mergeCell ref="A36:C36"/>
    <mergeCell ref="D29:D30"/>
    <mergeCell ref="A29:C30"/>
    <mergeCell ref="E29:I29"/>
  </mergeCells>
  <dataValidations count="1">
    <dataValidation showInputMessage="1" showErrorMessage="1" promptTitle="Upozornění !!!" sqref="A3:B27"/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1"/>
  <sheetViews>
    <sheetView workbookViewId="0">
      <selection activeCell="R72" sqref="R72"/>
    </sheetView>
  </sheetViews>
  <sheetFormatPr defaultRowHeight="15"/>
  <cols>
    <col min="1" max="1" width="19.42578125" customWidth="1"/>
    <col min="2" max="3" width="4.7109375" customWidth="1"/>
    <col min="4" max="29" width="2.7109375" customWidth="1"/>
    <col min="30" max="30" width="5.7109375" customWidth="1"/>
    <col min="31" max="31" width="4.7109375" customWidth="1"/>
    <col min="32" max="33" width="4.7109375" style="11" customWidth="1"/>
    <col min="34" max="34" width="8.7109375" style="11" customWidth="1"/>
  </cols>
  <sheetData>
    <row r="1" spans="1:34" ht="21.75" thickBot="1">
      <c r="A1" s="263" t="s">
        <v>120</v>
      </c>
      <c r="B1" s="263"/>
      <c r="C1" s="263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315"/>
      <c r="AF1"/>
      <c r="AG1"/>
      <c r="AH1"/>
    </row>
    <row r="2" spans="1:34" s="109" customFormat="1" ht="12" thickBot="1">
      <c r="A2" s="76" t="s">
        <v>36</v>
      </c>
      <c r="B2" s="80" t="s">
        <v>96</v>
      </c>
      <c r="C2" s="80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6" t="s">
        <v>21</v>
      </c>
      <c r="Y2" s="5" t="s">
        <v>22</v>
      </c>
      <c r="Z2" s="5" t="s">
        <v>111</v>
      </c>
      <c r="AA2" s="5" t="s">
        <v>111</v>
      </c>
      <c r="AB2" s="5" t="s">
        <v>112</v>
      </c>
      <c r="AC2" s="82" t="s">
        <v>112</v>
      </c>
      <c r="AD2" s="81" t="s">
        <v>70</v>
      </c>
      <c r="AE2" s="108" t="s">
        <v>61</v>
      </c>
      <c r="AF2" s="97"/>
      <c r="AG2" s="97"/>
      <c r="AH2" s="97"/>
    </row>
    <row r="3" spans="1:34">
      <c r="A3" s="78" t="s">
        <v>38</v>
      </c>
      <c r="B3" s="84" t="str">
        <f>INDEX(Soupiska!$A$3:$B$27,MATCH(A3,Soupiska!$A$3:$A$27,0),2)</f>
        <v>D</v>
      </c>
      <c r="C3" s="128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  <c r="AD3" s="73"/>
      <c r="AE3" s="9">
        <f t="shared" ref="AE3:AE28" si="0">SUM(IF(ISERROR(INDEX($A$32:$AH$43,MATCH(A3,$A$32:$A$43,0),34)),0,INDEX($A$32:$AH$43,MATCH(A3,$A$32:$A$43,0),34)),IF(ISERROR(INDEX($A$51:$AH$67,MATCH(A3,$A$51:$A$67,0),34)),0,INDEX($A$51:$AH$67,MATCH(A3,$A$51:$A$67,0),34)),IF(ISERROR(INDEX($A$75:$AH$87,MATCH(A3,$A$75:$A$87,0),34)),0,INDEX($A$75:$AH$87,MATCH(A3,$A$75:$A$87,0),34)),IF(ISERROR(INDEX($A$95:$AH$107,MATCH(A3,$A$95:$A$107,0),34)),0,INDEX($A$95:$AH$107,MATCH(A3,$A$95:$A$107,0),34)))</f>
        <v>0</v>
      </c>
      <c r="AF3" s="96"/>
      <c r="AG3" s="96"/>
      <c r="AH3" s="96"/>
    </row>
    <row r="4" spans="1:34">
      <c r="A4" s="78" t="s">
        <v>124</v>
      </c>
      <c r="B4" s="84" t="str">
        <f>INDEX(Soupiska!$A$3:$B$27,MATCH(A4,Soupiska!$A$3:$A$27,0),2)</f>
        <v>B</v>
      </c>
      <c r="C4" s="128"/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3"/>
      <c r="AE4" s="9">
        <f t="shared" si="0"/>
        <v>274</v>
      </c>
      <c r="AF4" s="96"/>
      <c r="AG4" s="96"/>
      <c r="AH4" s="96"/>
    </row>
    <row r="5" spans="1:34">
      <c r="A5" s="78" t="s">
        <v>39</v>
      </c>
      <c r="B5" s="84" t="str">
        <f>INDEX(Soupiska!$A$3:$B$27,MATCH(A5,Soupiska!$A$3:$A$27,0),2)</f>
        <v>B</v>
      </c>
      <c r="C5" s="128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4"/>
      <c r="AD5" s="73"/>
      <c r="AE5" s="9">
        <f t="shared" si="0"/>
        <v>249</v>
      </c>
      <c r="AF5" s="96"/>
      <c r="AG5" s="96"/>
      <c r="AH5" s="96"/>
    </row>
    <row r="6" spans="1:34">
      <c r="A6" s="78" t="s">
        <v>40</v>
      </c>
      <c r="B6" s="84" t="str">
        <f>INDEX(Soupiska!$A$3:$B$27,MATCH(A6,Soupiska!$A$3:$A$27,0),2)</f>
        <v>D</v>
      </c>
      <c r="C6" s="128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73"/>
      <c r="AE6" s="9">
        <f t="shared" si="0"/>
        <v>0</v>
      </c>
      <c r="AF6" s="96"/>
      <c r="AG6" s="96"/>
      <c r="AH6" s="96"/>
    </row>
    <row r="7" spans="1:34">
      <c r="A7" s="78" t="s">
        <v>41</v>
      </c>
      <c r="B7" s="84" t="str">
        <f>INDEX(Soupiska!$A$3:$B$27,MATCH(A7,Soupiska!$A$3:$A$27,0),2)</f>
        <v>D</v>
      </c>
      <c r="C7" s="128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73"/>
      <c r="AE7" s="9">
        <f t="shared" si="0"/>
        <v>254</v>
      </c>
      <c r="AF7" s="96"/>
      <c r="AG7" s="96"/>
      <c r="AH7" s="96"/>
    </row>
    <row r="8" spans="1:34">
      <c r="A8" s="78" t="s">
        <v>42</v>
      </c>
      <c r="B8" s="84" t="str">
        <f>INDEX(Soupiska!$A$3:$B$27,MATCH(A8,Soupiska!$A$3:$A$27,0),2)</f>
        <v>A</v>
      </c>
      <c r="C8" s="128"/>
      <c r="D8" s="102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73"/>
      <c r="AE8" s="9">
        <f t="shared" si="0"/>
        <v>310</v>
      </c>
      <c r="AF8" s="96"/>
      <c r="AG8" s="96"/>
      <c r="AH8" s="96"/>
    </row>
    <row r="9" spans="1:34">
      <c r="A9" s="78" t="s">
        <v>43</v>
      </c>
      <c r="B9" s="84" t="str">
        <f>INDEX(Soupiska!$A$3:$B$27,MATCH(A9,Soupiska!$A$3:$A$27,0),2)</f>
        <v>B</v>
      </c>
      <c r="C9" s="128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73"/>
      <c r="AE9" s="9">
        <f t="shared" si="0"/>
        <v>371</v>
      </c>
      <c r="AF9" s="96"/>
      <c r="AG9" s="96"/>
      <c r="AH9" s="96"/>
    </row>
    <row r="10" spans="1:34">
      <c r="A10" s="78" t="s">
        <v>44</v>
      </c>
      <c r="B10" s="84" t="str">
        <f>INDEX(Soupiska!$A$3:$B$27,MATCH(A10,Soupiska!$A$3:$A$27,0),2)</f>
        <v>C</v>
      </c>
      <c r="C10" s="128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73"/>
      <c r="AE10" s="9">
        <f t="shared" si="0"/>
        <v>388</v>
      </c>
      <c r="AF10" s="96"/>
      <c r="AG10" s="96"/>
      <c r="AH10" s="96"/>
    </row>
    <row r="11" spans="1:34">
      <c r="A11" s="78" t="s">
        <v>45</v>
      </c>
      <c r="B11" s="84" t="str">
        <f>INDEX(Soupiska!$A$3:$B$27,MATCH(A11,Soupiska!$A$3:$A$27,0),2)</f>
        <v>B</v>
      </c>
      <c r="C11" s="128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73"/>
      <c r="AE11" s="9">
        <f t="shared" si="0"/>
        <v>686</v>
      </c>
      <c r="AF11" s="96"/>
      <c r="AG11" s="96"/>
      <c r="AH11" s="96"/>
    </row>
    <row r="12" spans="1:34">
      <c r="A12" s="78" t="s">
        <v>46</v>
      </c>
      <c r="B12" s="84" t="str">
        <f>INDEX(Soupiska!$A$3:$B$27,MATCH(A12,Soupiska!$A$3:$A$27,0),2)</f>
        <v>C</v>
      </c>
      <c r="C12" s="128"/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73"/>
      <c r="AE12" s="9">
        <f t="shared" si="0"/>
        <v>280</v>
      </c>
      <c r="AF12" s="96"/>
      <c r="AG12" s="96"/>
      <c r="AH12" s="96"/>
    </row>
    <row r="13" spans="1:34">
      <c r="A13" s="78" t="s">
        <v>48</v>
      </c>
      <c r="B13" s="84" t="str">
        <f>INDEX(Soupiska!$A$3:$B$27,MATCH(A13,Soupiska!$A$3:$A$27,0),2)</f>
        <v>A</v>
      </c>
      <c r="C13" s="128"/>
      <c r="D13" s="10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73"/>
      <c r="AE13" s="9">
        <f t="shared" si="0"/>
        <v>0</v>
      </c>
      <c r="AF13" s="96"/>
      <c r="AG13" s="96"/>
      <c r="AH13" s="96"/>
    </row>
    <row r="14" spans="1:34">
      <c r="A14" s="78" t="s">
        <v>49</v>
      </c>
      <c r="B14" s="84" t="str">
        <f>INDEX(Soupiska!$A$3:$B$27,MATCH(A14,Soupiska!$A$3:$A$27,0),2)</f>
        <v>D</v>
      </c>
      <c r="C14" s="12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73"/>
      <c r="AE14" s="9">
        <f t="shared" si="0"/>
        <v>0</v>
      </c>
      <c r="AF14" s="96"/>
      <c r="AG14" s="96"/>
      <c r="AH14" s="96"/>
    </row>
    <row r="15" spans="1:34">
      <c r="A15" s="78" t="s">
        <v>159</v>
      </c>
      <c r="B15" s="84" t="str">
        <f>INDEX(Soupiska!$A$3:$B$27,MATCH(A15,Soupiska!$A$3:$A$27,0),2)</f>
        <v>C</v>
      </c>
      <c r="C15" s="128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73"/>
      <c r="AE15" s="9">
        <f t="shared" si="0"/>
        <v>676</v>
      </c>
      <c r="AF15" s="96"/>
      <c r="AG15" s="96"/>
      <c r="AH15" s="96"/>
    </row>
    <row r="16" spans="1:34">
      <c r="A16" s="78" t="s">
        <v>50</v>
      </c>
      <c r="B16" s="84" t="str">
        <f>INDEX(Soupiska!$A$3:$B$27,MATCH(A16,Soupiska!$A$3:$A$27,0),2)</f>
        <v>D</v>
      </c>
      <c r="C16" s="128"/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73"/>
      <c r="AE16" s="9">
        <f t="shared" si="0"/>
        <v>0</v>
      </c>
      <c r="AF16" s="96"/>
      <c r="AG16" s="96"/>
      <c r="AH16" s="96"/>
    </row>
    <row r="17" spans="1:34">
      <c r="A17" s="78" t="s">
        <v>122</v>
      </c>
      <c r="B17" s="84" t="str">
        <f>INDEX(Soupiska!$A$3:$B$27,MATCH(A17,Soupiska!$A$3:$A$27,0),2)</f>
        <v>D</v>
      </c>
      <c r="C17" s="128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73"/>
      <c r="AE17" s="9">
        <f t="shared" si="0"/>
        <v>76</v>
      </c>
      <c r="AF17" s="96"/>
      <c r="AG17" s="96"/>
      <c r="AH17" s="96"/>
    </row>
    <row r="18" spans="1:34">
      <c r="A18" s="78" t="s">
        <v>51</v>
      </c>
      <c r="B18" s="84" t="str">
        <f>INDEX(Soupiska!$A$3:$B$27,MATCH(A18,Soupiska!$A$3:$A$27,0),2)</f>
        <v>D</v>
      </c>
      <c r="C18" s="128"/>
      <c r="D18" s="102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73"/>
      <c r="AE18" s="9">
        <f t="shared" si="0"/>
        <v>240</v>
      </c>
      <c r="AF18" s="96"/>
      <c r="AG18" s="96"/>
      <c r="AH18" s="96"/>
    </row>
    <row r="19" spans="1:34">
      <c r="A19" s="78" t="s">
        <v>52</v>
      </c>
      <c r="B19" s="84" t="str">
        <f>INDEX(Soupiska!$A$3:$B$27,MATCH(A19,Soupiska!$A$3:$A$27,0),2)</f>
        <v>C</v>
      </c>
      <c r="C19" s="128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73"/>
      <c r="AE19" s="9">
        <f t="shared" si="0"/>
        <v>167</v>
      </c>
      <c r="AF19" s="96"/>
      <c r="AG19" s="96"/>
      <c r="AH19" s="96"/>
    </row>
    <row r="20" spans="1:34">
      <c r="A20" s="78" t="s">
        <v>53</v>
      </c>
      <c r="B20" s="84" t="str">
        <f>INDEX(Soupiska!$A$3:$B$27,MATCH(A20,Soupiska!$A$3:$A$27,0),2)</f>
        <v>A</v>
      </c>
      <c r="C20" s="128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73"/>
      <c r="AE20" s="9">
        <f t="shared" si="0"/>
        <v>260</v>
      </c>
      <c r="AF20" s="96"/>
      <c r="AG20" s="96"/>
      <c r="AH20" s="96"/>
    </row>
    <row r="21" spans="1:34">
      <c r="A21" s="78" t="s">
        <v>54</v>
      </c>
      <c r="B21" s="84" t="str">
        <f>INDEX(Soupiska!$A$3:$B$27,MATCH(A21,Soupiska!$A$3:$A$27,0),2)</f>
        <v>D</v>
      </c>
      <c r="C21" s="128"/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73"/>
      <c r="AE21" s="9">
        <f t="shared" si="0"/>
        <v>0</v>
      </c>
      <c r="AF21" s="96"/>
      <c r="AG21" s="96"/>
      <c r="AH21" s="96"/>
    </row>
    <row r="22" spans="1:34">
      <c r="A22" s="78" t="s">
        <v>55</v>
      </c>
      <c r="B22" s="84" t="str">
        <f>INDEX(Soupiska!$A$3:$B$27,MATCH(A22,Soupiska!$A$3:$A$27,0),2)</f>
        <v>D</v>
      </c>
      <c r="C22" s="128"/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73"/>
      <c r="AE22" s="9">
        <f t="shared" si="0"/>
        <v>222</v>
      </c>
      <c r="AF22" s="96"/>
      <c r="AG22" s="96"/>
      <c r="AH22" s="96"/>
    </row>
    <row r="23" spans="1:34">
      <c r="A23" s="78" t="s">
        <v>56</v>
      </c>
      <c r="B23" s="84" t="str">
        <f>INDEX(Soupiska!$A$3:$B$27,MATCH(A23,Soupiska!$A$3:$A$27,0),2)</f>
        <v>D</v>
      </c>
      <c r="C23" s="128"/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73"/>
      <c r="AE23" s="9">
        <f t="shared" si="0"/>
        <v>0</v>
      </c>
      <c r="AF23" s="96"/>
      <c r="AG23" s="96"/>
      <c r="AH23" s="96"/>
    </row>
    <row r="24" spans="1:34">
      <c r="A24" s="78" t="s">
        <v>95</v>
      </c>
      <c r="B24" s="84" t="str">
        <f>INDEX(Soupiska!$A$3:$B$27,MATCH(A24,Soupiska!$A$3:$A$27,0),2)</f>
        <v>B</v>
      </c>
      <c r="C24" s="128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73"/>
      <c r="AE24" s="9">
        <f t="shared" si="0"/>
        <v>292</v>
      </c>
      <c r="AF24" s="96"/>
      <c r="AG24" s="96"/>
      <c r="AH24" s="96"/>
    </row>
    <row r="25" spans="1:34">
      <c r="A25" s="78" t="s">
        <v>57</v>
      </c>
      <c r="B25" s="84" t="str">
        <f>INDEX(Soupiska!$A$3:$B$27,MATCH(A25,Soupiska!$A$3:$A$27,0),2)</f>
        <v>A</v>
      </c>
      <c r="C25" s="128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73"/>
      <c r="AE25" s="9">
        <f t="shared" si="0"/>
        <v>164</v>
      </c>
      <c r="AF25" s="96"/>
      <c r="AG25" s="96"/>
      <c r="AH25" s="96"/>
    </row>
    <row r="26" spans="1:34">
      <c r="A26" s="78" t="s">
        <v>161</v>
      </c>
      <c r="B26" s="84" t="s">
        <v>99</v>
      </c>
      <c r="C26" s="128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73"/>
      <c r="AE26" s="9">
        <f t="shared" si="0"/>
        <v>34</v>
      </c>
      <c r="AF26" s="96"/>
      <c r="AG26" s="96"/>
      <c r="AH26" s="96"/>
    </row>
    <row r="27" spans="1:34">
      <c r="A27" s="78" t="s">
        <v>58</v>
      </c>
      <c r="B27" s="84" t="str">
        <f>INDEX(Soupiska!$A$3:$B$27,MATCH(A27,Soupiska!$A$3:$A$27,0),2)</f>
        <v>D</v>
      </c>
      <c r="C27" s="128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73"/>
      <c r="AE27" s="9">
        <f t="shared" si="0"/>
        <v>38</v>
      </c>
      <c r="AF27" s="96"/>
      <c r="AG27" s="96"/>
      <c r="AH27" s="96"/>
    </row>
    <row r="28" spans="1:34">
      <c r="A28" s="78" t="s">
        <v>59</v>
      </c>
      <c r="B28" s="84" t="str">
        <f>INDEX(Soupiska!$A$3:$B$27,MATCH(A28,Soupiska!$A$3:$A$27,0),2)</f>
        <v>D</v>
      </c>
      <c r="C28" s="128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73"/>
      <c r="AE28" s="9">
        <f t="shared" si="0"/>
        <v>186</v>
      </c>
      <c r="AF28" s="96"/>
      <c r="AG28" s="96"/>
      <c r="AH28" s="96"/>
    </row>
    <row r="29" spans="1:34" ht="39" customHeight="1">
      <c r="B29" s="63"/>
      <c r="C29" s="63"/>
    </row>
    <row r="30" spans="1:34" ht="21.75" thickBot="1">
      <c r="A30" s="263" t="s">
        <v>150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</row>
    <row r="31" spans="1:34" s="109" customFormat="1" ht="12" thickBot="1">
      <c r="A31" s="4" t="s">
        <v>36</v>
      </c>
      <c r="B31" s="80" t="s">
        <v>96</v>
      </c>
      <c r="C31" s="80"/>
      <c r="D31" s="5" t="s">
        <v>1</v>
      </c>
      <c r="E31" s="5" t="s">
        <v>2</v>
      </c>
      <c r="F31" s="5" t="s">
        <v>3</v>
      </c>
      <c r="G31" s="5" t="s">
        <v>4</v>
      </c>
      <c r="H31" s="5" t="s">
        <v>5</v>
      </c>
      <c r="I31" s="5" t="s">
        <v>6</v>
      </c>
      <c r="J31" s="5" t="s">
        <v>7</v>
      </c>
      <c r="K31" s="5" t="s">
        <v>8</v>
      </c>
      <c r="L31" s="5" t="s">
        <v>9</v>
      </c>
      <c r="M31" s="5" t="s">
        <v>10</v>
      </c>
      <c r="N31" s="5" t="s">
        <v>11</v>
      </c>
      <c r="O31" s="5" t="s">
        <v>12</v>
      </c>
      <c r="P31" s="5" t="s">
        <v>13</v>
      </c>
      <c r="Q31" s="5" t="s">
        <v>14</v>
      </c>
      <c r="R31" s="5" t="s">
        <v>15</v>
      </c>
      <c r="S31" s="5" t="s">
        <v>16</v>
      </c>
      <c r="T31" s="5" t="s">
        <v>17</v>
      </c>
      <c r="U31" s="5" t="s">
        <v>18</v>
      </c>
      <c r="V31" s="5" t="s">
        <v>19</v>
      </c>
      <c r="W31" s="5" t="s">
        <v>20</v>
      </c>
      <c r="X31" s="6" t="s">
        <v>21</v>
      </c>
      <c r="Y31" s="5" t="s">
        <v>22</v>
      </c>
      <c r="Z31" s="5" t="s">
        <v>111</v>
      </c>
      <c r="AA31" s="5" t="s">
        <v>111</v>
      </c>
      <c r="AB31" s="5" t="s">
        <v>112</v>
      </c>
      <c r="AC31" s="82" t="s">
        <v>112</v>
      </c>
      <c r="AD31" s="81" t="s">
        <v>70</v>
      </c>
      <c r="AE31" s="86" t="s">
        <v>113</v>
      </c>
      <c r="AF31" s="86" t="s">
        <v>109</v>
      </c>
      <c r="AG31" s="87" t="s">
        <v>114</v>
      </c>
      <c r="AH31" s="86" t="s">
        <v>61</v>
      </c>
    </row>
    <row r="32" spans="1:34">
      <c r="A32" s="2" t="s">
        <v>124</v>
      </c>
      <c r="B32" s="84" t="str">
        <f>INDEX(Soupiska!$A$3:$B$27,MATCH(A32,Soupiska!$A$3:$A$27,0),2)</f>
        <v>B</v>
      </c>
      <c r="C32" s="20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207"/>
      <c r="AD32" s="208"/>
      <c r="AE32" s="9">
        <f t="shared" ref="AE32:AE43" si="1">COUNTA(D32:AC32)</f>
        <v>0</v>
      </c>
      <c r="AF32" s="9">
        <f t="shared" ref="AF32:AF43" si="2">SUM(D32:AC32)</f>
        <v>0</v>
      </c>
      <c r="AG32" s="89" t="str">
        <f t="shared" ref="AG32:AG43" si="3">IF(ISERROR(AF32/AE32),"NIC",AF32/AE32)</f>
        <v>NIC</v>
      </c>
      <c r="AH32" s="9">
        <f t="shared" ref="AH32:AH43" si="4">CEILING((AE32*$M$47)+(AF32*(LOOKUP(B32,$O$46:$R$46,$O$47:$R$47))),1)+AD32</f>
        <v>0</v>
      </c>
    </row>
    <row r="33" spans="1:34">
      <c r="A33" s="2" t="s">
        <v>39</v>
      </c>
      <c r="B33" s="84" t="str">
        <f>INDEX(Soupiska!$A$3:$B$27,MATCH(A33,Soupiska!$A$3:$A$27,0),2)</f>
        <v>B</v>
      </c>
      <c r="C33" s="206"/>
      <c r="D33" s="197"/>
      <c r="E33" s="197"/>
      <c r="F33" s="197">
        <v>2</v>
      </c>
      <c r="G33" s="197">
        <v>1.5</v>
      </c>
      <c r="H33" s="197"/>
      <c r="I33" s="197">
        <v>1.5</v>
      </c>
      <c r="J33" s="197">
        <v>1.5</v>
      </c>
      <c r="K33" s="197">
        <v>1</v>
      </c>
      <c r="L33" s="197">
        <v>0</v>
      </c>
      <c r="M33" s="197">
        <v>1</v>
      </c>
      <c r="N33" s="197">
        <v>0</v>
      </c>
      <c r="O33" s="197">
        <v>1.5</v>
      </c>
      <c r="P33" s="197">
        <v>0</v>
      </c>
      <c r="Q33" s="197">
        <v>2</v>
      </c>
      <c r="R33" s="197"/>
      <c r="S33" s="197"/>
      <c r="T33" s="197">
        <v>0.5</v>
      </c>
      <c r="U33" s="197"/>
      <c r="V33" s="197"/>
      <c r="W33" s="197"/>
      <c r="X33" s="197">
        <v>0</v>
      </c>
      <c r="Y33" s="197">
        <v>1</v>
      </c>
      <c r="Z33" s="197"/>
      <c r="AA33" s="197"/>
      <c r="AB33" s="197"/>
      <c r="AC33" s="207"/>
      <c r="AD33" s="208"/>
      <c r="AE33" s="9">
        <f t="shared" si="1"/>
        <v>14</v>
      </c>
      <c r="AF33" s="9">
        <f t="shared" si="2"/>
        <v>13.5</v>
      </c>
      <c r="AG33" s="89">
        <f t="shared" si="3"/>
        <v>0.9642857142857143</v>
      </c>
      <c r="AH33" s="9">
        <f t="shared" si="4"/>
        <v>138</v>
      </c>
    </row>
    <row r="34" spans="1:34">
      <c r="A34" s="2" t="s">
        <v>42</v>
      </c>
      <c r="B34" s="84" t="str">
        <f>INDEX(Soupiska!$A$3:$B$27,MATCH(A34,Soupiska!$A$3:$A$27,0),2)</f>
        <v>A</v>
      </c>
      <c r="C34" s="206"/>
      <c r="D34" s="197">
        <v>2.5</v>
      </c>
      <c r="E34" s="197">
        <v>2.5</v>
      </c>
      <c r="F34" s="197">
        <v>4</v>
      </c>
      <c r="G34" s="197">
        <v>2.5</v>
      </c>
      <c r="H34" s="197">
        <v>3</v>
      </c>
      <c r="I34" s="197">
        <v>3.5</v>
      </c>
      <c r="J34" s="197">
        <v>3.5</v>
      </c>
      <c r="K34" s="197">
        <v>4.5</v>
      </c>
      <c r="L34" s="197">
        <v>1</v>
      </c>
      <c r="M34" s="197">
        <v>2.5</v>
      </c>
      <c r="N34" s="197">
        <v>0</v>
      </c>
      <c r="O34" s="197"/>
      <c r="P34" s="197"/>
      <c r="Q34" s="197"/>
      <c r="R34" s="197">
        <v>3.5</v>
      </c>
      <c r="S34" s="197">
        <v>3</v>
      </c>
      <c r="T34" s="197">
        <v>2.5</v>
      </c>
      <c r="U34" s="197">
        <v>1</v>
      </c>
      <c r="V34" s="197">
        <v>2.5</v>
      </c>
      <c r="W34" s="197">
        <v>1</v>
      </c>
      <c r="X34" s="197">
        <v>4</v>
      </c>
      <c r="Y34" s="197">
        <v>2</v>
      </c>
      <c r="Z34" s="197"/>
      <c r="AA34" s="197"/>
      <c r="AB34" s="197"/>
      <c r="AC34" s="207"/>
      <c r="AD34" s="208"/>
      <c r="AE34" s="9">
        <f t="shared" si="1"/>
        <v>19</v>
      </c>
      <c r="AF34" s="9">
        <f t="shared" si="2"/>
        <v>49</v>
      </c>
      <c r="AG34" s="89">
        <f t="shared" si="3"/>
        <v>2.5789473684210527</v>
      </c>
      <c r="AH34" s="9">
        <f t="shared" si="4"/>
        <v>310</v>
      </c>
    </row>
    <row r="35" spans="1:34">
      <c r="A35" s="2" t="s">
        <v>43</v>
      </c>
      <c r="B35" s="84" t="str">
        <f>INDEX(Soupiska!$A$3:$B$27,MATCH(A35,Soupiska!$A$3:$A$27,0),2)</f>
        <v>B</v>
      </c>
      <c r="C35" s="206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207"/>
      <c r="AD35" s="208"/>
      <c r="AE35" s="9">
        <f t="shared" si="1"/>
        <v>0</v>
      </c>
      <c r="AF35" s="9">
        <f t="shared" si="2"/>
        <v>0</v>
      </c>
      <c r="AG35" s="89" t="str">
        <f t="shared" si="3"/>
        <v>NIC</v>
      </c>
      <c r="AH35" s="9">
        <f t="shared" si="4"/>
        <v>0</v>
      </c>
    </row>
    <row r="36" spans="1:34">
      <c r="A36" s="2" t="s">
        <v>44</v>
      </c>
      <c r="B36" s="84" t="str">
        <f>INDEX(Soupiska!$A$3:$B$27,MATCH(A36,Soupiska!$A$3:$A$27,0),2)</f>
        <v>C</v>
      </c>
      <c r="C36" s="20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>
        <v>0</v>
      </c>
      <c r="T36" s="197"/>
      <c r="U36" s="197"/>
      <c r="V36" s="197"/>
      <c r="W36" s="197"/>
      <c r="X36" s="197"/>
      <c r="Y36" s="197"/>
      <c r="Z36" s="197"/>
      <c r="AA36" s="197"/>
      <c r="AB36" s="197"/>
      <c r="AC36" s="207"/>
      <c r="AD36" s="208"/>
      <c r="AE36" s="9">
        <f t="shared" si="1"/>
        <v>1</v>
      </c>
      <c r="AF36" s="9">
        <f t="shared" si="2"/>
        <v>0</v>
      </c>
      <c r="AG36" s="89">
        <f t="shared" si="3"/>
        <v>0</v>
      </c>
      <c r="AH36" s="9">
        <f t="shared" si="4"/>
        <v>6</v>
      </c>
    </row>
    <row r="37" spans="1:34">
      <c r="A37" s="2" t="s">
        <v>45</v>
      </c>
      <c r="B37" s="84" t="str">
        <f>INDEX(Soupiska!$A$3:$B$27,MATCH(A37,Soupiska!$A$3:$A$27,0),2)</f>
        <v>B</v>
      </c>
      <c r="C37" s="206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>
        <v>1</v>
      </c>
      <c r="O37" s="197"/>
      <c r="P37" s="197">
        <v>2</v>
      </c>
      <c r="Q37" s="197">
        <v>0</v>
      </c>
      <c r="R37" s="197"/>
      <c r="S37" s="197"/>
      <c r="T37" s="197"/>
      <c r="U37" s="197"/>
      <c r="V37" s="197">
        <v>1.5</v>
      </c>
      <c r="W37" s="197">
        <v>0.5</v>
      </c>
      <c r="X37" s="197"/>
      <c r="Y37" s="197"/>
      <c r="Z37" s="197"/>
      <c r="AA37" s="197"/>
      <c r="AB37" s="197"/>
      <c r="AC37" s="207"/>
      <c r="AD37" s="208"/>
      <c r="AE37" s="9">
        <f t="shared" si="1"/>
        <v>5</v>
      </c>
      <c r="AF37" s="9">
        <f t="shared" si="2"/>
        <v>5</v>
      </c>
      <c r="AG37" s="89">
        <f t="shared" si="3"/>
        <v>1</v>
      </c>
      <c r="AH37" s="9">
        <f t="shared" si="4"/>
        <v>50</v>
      </c>
    </row>
    <row r="38" spans="1:34">
      <c r="A38" s="2" t="s">
        <v>46</v>
      </c>
      <c r="B38" s="84" t="str">
        <f>INDEX(Soupiska!$A$3:$B$27,MATCH(A38,Soupiska!$A$3:$A$27,0),2)</f>
        <v>C</v>
      </c>
      <c r="C38" s="20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207"/>
      <c r="AD38" s="208"/>
      <c r="AE38" s="9">
        <f t="shared" si="1"/>
        <v>0</v>
      </c>
      <c r="AF38" s="9">
        <f t="shared" si="2"/>
        <v>0</v>
      </c>
      <c r="AG38" s="89" t="str">
        <f t="shared" si="3"/>
        <v>NIC</v>
      </c>
      <c r="AH38" s="9">
        <f t="shared" si="4"/>
        <v>0</v>
      </c>
    </row>
    <row r="39" spans="1:34">
      <c r="A39" s="2" t="s">
        <v>48</v>
      </c>
      <c r="B39" s="84" t="str">
        <f>INDEX(Soupiska!$A$3:$B$27,MATCH(A39,Soupiska!$A$3:$A$27,0),2)</f>
        <v>A</v>
      </c>
      <c r="C39" s="20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207"/>
      <c r="AD39" s="208"/>
      <c r="AE39" s="9">
        <f t="shared" si="1"/>
        <v>0</v>
      </c>
      <c r="AF39" s="9">
        <f t="shared" si="2"/>
        <v>0</v>
      </c>
      <c r="AG39" s="89" t="str">
        <f t="shared" si="3"/>
        <v>NIC</v>
      </c>
      <c r="AH39" s="9">
        <f t="shared" si="4"/>
        <v>0</v>
      </c>
    </row>
    <row r="40" spans="1:34">
      <c r="A40" s="2" t="s">
        <v>159</v>
      </c>
      <c r="B40" s="84" t="str">
        <f>INDEX(Soupiska!$A$3:$B$27,MATCH(A40,Soupiska!$A$3:$A$27,0),2)</f>
        <v>C</v>
      </c>
      <c r="C40" s="20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207"/>
      <c r="AD40" s="208"/>
      <c r="AE40" s="9">
        <f t="shared" ref="AE40" si="5">COUNTA(D40:AC40)</f>
        <v>0</v>
      </c>
      <c r="AF40" s="9">
        <f t="shared" ref="AF40" si="6">SUM(D40:AC40)</f>
        <v>0</v>
      </c>
      <c r="AG40" s="89" t="str">
        <f t="shared" ref="AG40" si="7">IF(ISERROR(AF40/AE40),"NIC",AF40/AE40)</f>
        <v>NIC</v>
      </c>
      <c r="AH40" s="9">
        <f t="shared" si="4"/>
        <v>0</v>
      </c>
    </row>
    <row r="41" spans="1:34">
      <c r="A41" s="2" t="s">
        <v>53</v>
      </c>
      <c r="B41" s="84" t="str">
        <f>INDEX(Soupiska!$A$3:$B$27,MATCH(A41,Soupiska!$A$3:$A$27,0),2)</f>
        <v>A</v>
      </c>
      <c r="C41" s="206"/>
      <c r="D41" s="197">
        <v>3</v>
      </c>
      <c r="E41" s="197">
        <v>3.5</v>
      </c>
      <c r="F41" s="197"/>
      <c r="G41" s="197">
        <v>3.5</v>
      </c>
      <c r="H41" s="197">
        <v>2</v>
      </c>
      <c r="I41" s="197">
        <v>2.5</v>
      </c>
      <c r="J41" s="197">
        <v>4.5</v>
      </c>
      <c r="K41" s="197">
        <v>3</v>
      </c>
      <c r="L41" s="197">
        <v>2</v>
      </c>
      <c r="M41" s="197">
        <v>3</v>
      </c>
      <c r="N41" s="197"/>
      <c r="O41" s="197">
        <v>3.5</v>
      </c>
      <c r="P41" s="197"/>
      <c r="Q41" s="197"/>
      <c r="R41" s="197">
        <v>4.5</v>
      </c>
      <c r="S41" s="197"/>
      <c r="T41" s="197"/>
      <c r="U41" s="197">
        <v>3</v>
      </c>
      <c r="V41" s="197">
        <v>4.5</v>
      </c>
      <c r="W41" s="197">
        <v>1.5</v>
      </c>
      <c r="X41" s="197"/>
      <c r="Y41" s="197"/>
      <c r="Z41" s="197"/>
      <c r="AA41" s="197"/>
      <c r="AB41" s="197"/>
      <c r="AC41" s="207"/>
      <c r="AD41" s="208"/>
      <c r="AE41" s="9">
        <f t="shared" si="1"/>
        <v>14</v>
      </c>
      <c r="AF41" s="9">
        <f t="shared" si="2"/>
        <v>44</v>
      </c>
      <c r="AG41" s="89">
        <f t="shared" si="3"/>
        <v>3.1428571428571428</v>
      </c>
      <c r="AH41" s="9">
        <f t="shared" si="4"/>
        <v>260</v>
      </c>
    </row>
    <row r="42" spans="1:34">
      <c r="A42" s="2" t="s">
        <v>95</v>
      </c>
      <c r="B42" s="84" t="str">
        <f>INDEX(Soupiska!$A$3:$B$27,MATCH(A42,Soupiska!$A$3:$A$27,0),2)</f>
        <v>B</v>
      </c>
      <c r="C42" s="206"/>
      <c r="D42" s="197">
        <v>2.5</v>
      </c>
      <c r="E42" s="197">
        <v>0.5</v>
      </c>
      <c r="F42" s="197">
        <v>1</v>
      </c>
      <c r="G42" s="197"/>
      <c r="H42" s="197">
        <v>0</v>
      </c>
      <c r="I42" s="197">
        <v>2.5</v>
      </c>
      <c r="J42" s="197">
        <v>0.5</v>
      </c>
      <c r="K42" s="197">
        <v>1.5</v>
      </c>
      <c r="L42" s="197">
        <v>1</v>
      </c>
      <c r="M42" s="197">
        <v>3.5</v>
      </c>
      <c r="N42" s="197">
        <v>1</v>
      </c>
      <c r="O42" s="197">
        <v>2.5</v>
      </c>
      <c r="P42" s="197">
        <v>2.5</v>
      </c>
      <c r="Q42" s="197">
        <v>3.5</v>
      </c>
      <c r="R42" s="197">
        <v>1.5</v>
      </c>
      <c r="S42" s="197">
        <v>1</v>
      </c>
      <c r="T42" s="197">
        <v>2.5</v>
      </c>
      <c r="U42" s="197">
        <v>0</v>
      </c>
      <c r="V42" s="197">
        <v>1.5</v>
      </c>
      <c r="W42" s="197">
        <v>3</v>
      </c>
      <c r="X42" s="197">
        <v>2.5</v>
      </c>
      <c r="Y42" s="197">
        <v>1</v>
      </c>
      <c r="Z42" s="197"/>
      <c r="AA42" s="197"/>
      <c r="AB42" s="197"/>
      <c r="AC42" s="207"/>
      <c r="AD42" s="208"/>
      <c r="AE42" s="9">
        <f t="shared" si="1"/>
        <v>21</v>
      </c>
      <c r="AF42" s="9">
        <f t="shared" si="2"/>
        <v>35.5</v>
      </c>
      <c r="AG42" s="89">
        <f t="shared" si="3"/>
        <v>1.6904761904761905</v>
      </c>
      <c r="AH42" s="9">
        <f t="shared" si="4"/>
        <v>268</v>
      </c>
    </row>
    <row r="43" spans="1:34">
      <c r="A43" s="2" t="s">
        <v>57</v>
      </c>
      <c r="B43" s="84" t="str">
        <f>INDEX(Soupiska!$A$3:$B$27,MATCH(A43,Soupiska!$A$3:$A$27,0),2)</f>
        <v>A</v>
      </c>
      <c r="C43" s="206"/>
      <c r="D43" s="197">
        <v>2</v>
      </c>
      <c r="E43" s="197">
        <v>2.5</v>
      </c>
      <c r="F43" s="197">
        <v>2</v>
      </c>
      <c r="G43" s="197">
        <v>2.5</v>
      </c>
      <c r="H43" s="236">
        <v>0</v>
      </c>
      <c r="I43" s="197"/>
      <c r="J43" s="197"/>
      <c r="K43" s="197"/>
      <c r="L43" s="197"/>
      <c r="M43" s="197"/>
      <c r="N43" s="197"/>
      <c r="O43" s="197">
        <v>3.5</v>
      </c>
      <c r="P43" s="197">
        <v>2.5</v>
      </c>
      <c r="Q43" s="197">
        <v>3.5</v>
      </c>
      <c r="R43" s="197">
        <v>0.5</v>
      </c>
      <c r="S43" s="197"/>
      <c r="T43" s="197">
        <v>0.5</v>
      </c>
      <c r="U43" s="197">
        <v>2</v>
      </c>
      <c r="V43" s="197"/>
      <c r="W43" s="197"/>
      <c r="X43" s="197">
        <v>1.5</v>
      </c>
      <c r="Y43" s="197">
        <v>1</v>
      </c>
      <c r="Z43" s="197"/>
      <c r="AA43" s="197"/>
      <c r="AB43" s="197"/>
      <c r="AC43" s="207"/>
      <c r="AD43" s="237">
        <v>-10</v>
      </c>
      <c r="AE43" s="9">
        <f t="shared" si="1"/>
        <v>13</v>
      </c>
      <c r="AF43" s="9">
        <f t="shared" si="2"/>
        <v>24</v>
      </c>
      <c r="AG43" s="89">
        <f t="shared" si="3"/>
        <v>1.8461538461538463</v>
      </c>
      <c r="AH43" s="9">
        <f t="shared" si="4"/>
        <v>164</v>
      </c>
    </row>
    <row r="44" spans="1:34" ht="18" customHeight="1" thickBot="1">
      <c r="AH44" s="11">
        <f>SUM(AH32:AH43)</f>
        <v>1196</v>
      </c>
    </row>
    <row r="45" spans="1:34">
      <c r="A45" s="316"/>
      <c r="B45" s="317"/>
      <c r="C45" s="202"/>
      <c r="D45" s="244" t="s">
        <v>74</v>
      </c>
      <c r="E45" s="318"/>
      <c r="F45" s="318"/>
      <c r="G45" s="318"/>
      <c r="H45" s="318"/>
      <c r="I45" s="318"/>
      <c r="J45" s="318"/>
      <c r="K45" s="318"/>
      <c r="L45" s="318"/>
      <c r="M45" s="320" t="s">
        <v>73</v>
      </c>
      <c r="N45" s="318"/>
      <c r="O45" s="312" t="s">
        <v>78</v>
      </c>
      <c r="P45" s="247"/>
      <c r="Q45" s="247"/>
      <c r="R45" s="252"/>
      <c r="S45" s="95"/>
      <c r="T45" s="95"/>
    </row>
    <row r="46" spans="1:34" ht="15.75" thickBot="1">
      <c r="A46" s="316"/>
      <c r="B46" s="317"/>
      <c r="C46" s="202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50" t="s">
        <v>100</v>
      </c>
      <c r="P46" s="75" t="s">
        <v>99</v>
      </c>
      <c r="Q46" s="201" t="s">
        <v>97</v>
      </c>
      <c r="R46" s="51" t="s">
        <v>98</v>
      </c>
      <c r="S46" s="61"/>
      <c r="T46" s="61"/>
    </row>
    <row r="47" spans="1:34">
      <c r="A47" s="321"/>
      <c r="B47" s="322"/>
      <c r="C47" s="203"/>
      <c r="D47" s="323" t="s">
        <v>154</v>
      </c>
      <c r="E47" s="324"/>
      <c r="F47" s="324"/>
      <c r="G47" s="324"/>
      <c r="H47" s="324"/>
      <c r="I47" s="324"/>
      <c r="J47" s="324"/>
      <c r="K47" s="324"/>
      <c r="L47" s="325"/>
      <c r="M47" s="326">
        <v>6</v>
      </c>
      <c r="N47" s="327"/>
      <c r="O47" s="43">
        <v>4</v>
      </c>
      <c r="P47" s="21">
        <v>4</v>
      </c>
      <c r="Q47" s="21">
        <v>4</v>
      </c>
      <c r="R47" s="44">
        <v>4</v>
      </c>
      <c r="S47" s="62"/>
      <c r="T47" s="62"/>
    </row>
    <row r="49" spans="1:34" ht="21.75" thickBot="1">
      <c r="A49" s="263" t="s">
        <v>151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</row>
    <row r="50" spans="1:34" s="109" customFormat="1" ht="12" thickBot="1">
      <c r="A50" s="4" t="s">
        <v>36</v>
      </c>
      <c r="B50" s="80" t="s">
        <v>96</v>
      </c>
      <c r="C50" s="80"/>
      <c r="D50" s="5" t="s">
        <v>1</v>
      </c>
      <c r="E50" s="5" t="s">
        <v>2</v>
      </c>
      <c r="F50" s="5" t="s">
        <v>3</v>
      </c>
      <c r="G50" s="5" t="s">
        <v>4</v>
      </c>
      <c r="H50" s="5" t="s">
        <v>5</v>
      </c>
      <c r="I50" s="5" t="s">
        <v>6</v>
      </c>
      <c r="J50" s="5" t="s">
        <v>7</v>
      </c>
      <c r="K50" s="5" t="s">
        <v>8</v>
      </c>
      <c r="L50" s="5" t="s">
        <v>9</v>
      </c>
      <c r="M50" s="5" t="s">
        <v>10</v>
      </c>
      <c r="N50" s="5" t="s">
        <v>11</v>
      </c>
      <c r="O50" s="5" t="s">
        <v>12</v>
      </c>
      <c r="P50" s="5" t="s">
        <v>13</v>
      </c>
      <c r="Q50" s="5" t="s">
        <v>14</v>
      </c>
      <c r="R50" s="5" t="s">
        <v>15</v>
      </c>
      <c r="S50" s="5" t="s">
        <v>16</v>
      </c>
      <c r="T50" s="5" t="s">
        <v>17</v>
      </c>
      <c r="U50" s="5" t="s">
        <v>18</v>
      </c>
      <c r="V50" s="5" t="s">
        <v>19</v>
      </c>
      <c r="W50" s="5" t="s">
        <v>20</v>
      </c>
      <c r="X50" s="6" t="s">
        <v>21</v>
      </c>
      <c r="Y50" s="5" t="s">
        <v>22</v>
      </c>
      <c r="Z50" s="5" t="s">
        <v>111</v>
      </c>
      <c r="AA50" s="5" t="s">
        <v>111</v>
      </c>
      <c r="AB50" s="5" t="s">
        <v>112</v>
      </c>
      <c r="AC50" s="82" t="s">
        <v>112</v>
      </c>
      <c r="AD50" s="81" t="s">
        <v>70</v>
      </c>
      <c r="AE50" s="86" t="s">
        <v>113</v>
      </c>
      <c r="AF50" s="86" t="s">
        <v>109</v>
      </c>
      <c r="AG50" s="87" t="s">
        <v>114</v>
      </c>
      <c r="AH50" s="86" t="s">
        <v>61</v>
      </c>
    </row>
    <row r="51" spans="1:34">
      <c r="A51" s="2" t="s">
        <v>124</v>
      </c>
      <c r="B51" s="84" t="str">
        <f>INDEX(Soupiska!$A$3:$B$27,MATCH(A51,Soupiska!$A$3:$A$27,0),2)</f>
        <v>B</v>
      </c>
      <c r="C51" s="206"/>
      <c r="D51" s="197"/>
      <c r="E51" s="197"/>
      <c r="F51" s="197">
        <v>2.5</v>
      </c>
      <c r="G51" s="197"/>
      <c r="H51" s="197"/>
      <c r="I51" s="197">
        <v>2</v>
      </c>
      <c r="J51" s="197">
        <v>1.5</v>
      </c>
      <c r="K51" s="197"/>
      <c r="L51" s="197">
        <v>3.5</v>
      </c>
      <c r="M51" s="197">
        <v>3.5</v>
      </c>
      <c r="N51" s="197">
        <v>2</v>
      </c>
      <c r="O51" s="197">
        <v>3.5</v>
      </c>
      <c r="P51" s="197"/>
      <c r="Q51" s="197"/>
      <c r="R51" s="197">
        <v>3.5</v>
      </c>
      <c r="S51" s="197">
        <v>2.5</v>
      </c>
      <c r="T51" s="197">
        <v>2</v>
      </c>
      <c r="U51" s="197">
        <v>2.5</v>
      </c>
      <c r="V51" s="197">
        <v>4</v>
      </c>
      <c r="W51" s="197">
        <v>3.5</v>
      </c>
      <c r="X51" s="197">
        <v>2.5</v>
      </c>
      <c r="Y51" s="197"/>
      <c r="Z51" s="197">
        <v>2</v>
      </c>
      <c r="AA51" s="197">
        <v>1</v>
      </c>
      <c r="AB51" s="197">
        <v>2.5</v>
      </c>
      <c r="AC51" s="207">
        <v>1.5</v>
      </c>
      <c r="AD51" s="208"/>
      <c r="AE51" s="9">
        <f t="shared" ref="AE51:AE67" si="8">COUNTA(D51:AC51)</f>
        <v>18</v>
      </c>
      <c r="AF51" s="9">
        <f t="shared" ref="AF51:AF57" si="9">SUM(D51:AC51)</f>
        <v>46</v>
      </c>
      <c r="AG51" s="89">
        <f t="shared" ref="AG51:AG67" si="10">IF(ISERROR(AF51/AE51),"NIC",AF51/AE51)</f>
        <v>2.5555555555555554</v>
      </c>
      <c r="AH51" s="9">
        <f t="shared" ref="AH51:AH67" si="11">CEILING((AE51*$M$71)+(AF51*(LOOKUP(B51,$O$70:$R$70,$O$71:$R$71))),1)+AD51</f>
        <v>274</v>
      </c>
    </row>
    <row r="52" spans="1:34">
      <c r="A52" s="2" t="s">
        <v>39</v>
      </c>
      <c r="B52" s="84" t="str">
        <f>INDEX(Soupiska!$A$3:$B$27,MATCH(A52,Soupiska!$A$3:$A$27,0),2)</f>
        <v>B</v>
      </c>
      <c r="C52" s="206"/>
      <c r="D52" s="197">
        <v>2.5</v>
      </c>
      <c r="E52" s="197">
        <v>2.5</v>
      </c>
      <c r="F52" s="197"/>
      <c r="G52" s="197"/>
      <c r="H52" s="197">
        <v>4.5</v>
      </c>
      <c r="I52" s="197"/>
      <c r="J52" s="197"/>
      <c r="K52" s="197"/>
      <c r="L52" s="197"/>
      <c r="M52" s="197"/>
      <c r="N52" s="197"/>
      <c r="O52" s="197">
        <v>4</v>
      </c>
      <c r="P52" s="197"/>
      <c r="Q52" s="197"/>
      <c r="R52" s="197"/>
      <c r="S52" s="197"/>
      <c r="T52" s="197"/>
      <c r="U52" s="197">
        <v>1.5</v>
      </c>
      <c r="V52" s="197">
        <v>2</v>
      </c>
      <c r="W52" s="197">
        <v>2</v>
      </c>
      <c r="X52" s="197"/>
      <c r="Y52" s="197"/>
      <c r="Z52" s="197"/>
      <c r="AA52" s="197"/>
      <c r="AB52" s="197"/>
      <c r="AC52" s="207"/>
      <c r="AD52" s="208"/>
      <c r="AE52" s="9">
        <f t="shared" si="8"/>
        <v>7</v>
      </c>
      <c r="AF52" s="9">
        <f t="shared" si="9"/>
        <v>19</v>
      </c>
      <c r="AG52" s="89">
        <f t="shared" si="10"/>
        <v>2.7142857142857144</v>
      </c>
      <c r="AH52" s="9">
        <f t="shared" si="11"/>
        <v>111</v>
      </c>
    </row>
    <row r="53" spans="1:34">
      <c r="A53" s="2" t="s">
        <v>41</v>
      </c>
      <c r="B53" s="84" t="str">
        <f>INDEX(Soupiska!$A$3:$B$27,MATCH(A53,Soupiska!$A$3:$A$27,0),2)</f>
        <v>D</v>
      </c>
      <c r="C53" s="20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207"/>
      <c r="AD53" s="208"/>
      <c r="AE53" s="9">
        <f t="shared" si="8"/>
        <v>0</v>
      </c>
      <c r="AF53" s="9">
        <f t="shared" si="9"/>
        <v>0</v>
      </c>
      <c r="AG53" s="89" t="str">
        <f t="shared" si="10"/>
        <v>NIC</v>
      </c>
      <c r="AH53" s="9">
        <f t="shared" si="11"/>
        <v>0</v>
      </c>
    </row>
    <row r="54" spans="1:34">
      <c r="A54" s="2" t="s">
        <v>43</v>
      </c>
      <c r="B54" s="84" t="str">
        <f>INDEX(Soupiska!$A$3:$B$27,MATCH(A54,Soupiska!$A$3:$A$27,0),2)</f>
        <v>B</v>
      </c>
      <c r="C54" s="206"/>
      <c r="D54" s="197">
        <v>2.5</v>
      </c>
      <c r="E54" s="197">
        <v>2.5</v>
      </c>
      <c r="F54" s="197">
        <v>2.5</v>
      </c>
      <c r="G54" s="197">
        <v>2.5</v>
      </c>
      <c r="H54" s="197">
        <v>2.5</v>
      </c>
      <c r="I54" s="197">
        <v>3</v>
      </c>
      <c r="J54" s="197">
        <v>3.5</v>
      </c>
      <c r="K54" s="197"/>
      <c r="L54" s="197">
        <v>3.5</v>
      </c>
      <c r="M54" s="197"/>
      <c r="N54" s="197">
        <v>1</v>
      </c>
      <c r="O54" s="197">
        <v>3</v>
      </c>
      <c r="P54" s="197">
        <v>4.5</v>
      </c>
      <c r="Q54" s="197">
        <v>2</v>
      </c>
      <c r="R54" s="197">
        <v>2.5</v>
      </c>
      <c r="S54" s="197">
        <v>2.5</v>
      </c>
      <c r="T54" s="197">
        <v>3.5</v>
      </c>
      <c r="U54" s="197">
        <v>3</v>
      </c>
      <c r="V54" s="197">
        <v>2</v>
      </c>
      <c r="W54" s="197">
        <v>4.5</v>
      </c>
      <c r="X54" s="197">
        <v>3</v>
      </c>
      <c r="Y54" s="197"/>
      <c r="Z54" s="197">
        <v>2.5</v>
      </c>
      <c r="AA54" s="197">
        <v>1.5</v>
      </c>
      <c r="AB54" s="197">
        <v>2.5</v>
      </c>
      <c r="AC54" s="207">
        <v>3.5</v>
      </c>
      <c r="AD54" s="208"/>
      <c r="AE54" s="9">
        <f t="shared" si="8"/>
        <v>23</v>
      </c>
      <c r="AF54" s="9">
        <f t="shared" si="9"/>
        <v>64</v>
      </c>
      <c r="AG54" s="89">
        <f t="shared" si="10"/>
        <v>2.7826086956521738</v>
      </c>
      <c r="AH54" s="9">
        <f t="shared" si="11"/>
        <v>371</v>
      </c>
    </row>
    <row r="55" spans="1:34">
      <c r="A55" s="2" t="s">
        <v>44</v>
      </c>
      <c r="B55" s="84" t="str">
        <f>INDEX(Soupiska!$A$3:$B$27,MATCH(A55,Soupiska!$A$3:$A$27,0),2)</f>
        <v>C</v>
      </c>
      <c r="C55" s="206"/>
      <c r="D55" s="197"/>
      <c r="E55" s="197"/>
      <c r="F55" s="197"/>
      <c r="G55" s="197">
        <v>1</v>
      </c>
      <c r="H55" s="197">
        <v>0</v>
      </c>
      <c r="I55" s="197"/>
      <c r="J55" s="197"/>
      <c r="K55" s="197">
        <v>2</v>
      </c>
      <c r="L55" s="197"/>
      <c r="M55" s="197">
        <v>2</v>
      </c>
      <c r="N55" s="197">
        <v>0</v>
      </c>
      <c r="O55" s="197"/>
      <c r="P55" s="197">
        <v>1</v>
      </c>
      <c r="Q55" s="197">
        <v>1</v>
      </c>
      <c r="R55" s="197"/>
      <c r="S55" s="197"/>
      <c r="T55" s="197"/>
      <c r="U55" s="197"/>
      <c r="V55" s="197">
        <v>1.5</v>
      </c>
      <c r="W55" s="197">
        <v>0</v>
      </c>
      <c r="X55" s="197"/>
      <c r="Y55" s="197">
        <v>2.5</v>
      </c>
      <c r="Z55" s="197"/>
      <c r="AA55" s="197"/>
      <c r="AB55" s="197"/>
      <c r="AC55" s="207"/>
      <c r="AD55" s="208"/>
      <c r="AE55" s="9">
        <f t="shared" si="8"/>
        <v>10</v>
      </c>
      <c r="AF55" s="9">
        <f t="shared" si="9"/>
        <v>11</v>
      </c>
      <c r="AG55" s="89">
        <f t="shared" si="10"/>
        <v>1.1000000000000001</v>
      </c>
      <c r="AH55" s="9">
        <f t="shared" si="11"/>
        <v>94</v>
      </c>
    </row>
    <row r="56" spans="1:34">
      <c r="A56" s="2" t="s">
        <v>45</v>
      </c>
      <c r="B56" s="84" t="str">
        <f>INDEX(Soupiska!$A$3:$B$27,MATCH(A56,Soupiska!$A$3:$A$27,0),2)</f>
        <v>B</v>
      </c>
      <c r="C56" s="206"/>
      <c r="D56" s="197">
        <v>3.5</v>
      </c>
      <c r="E56" s="197">
        <v>2.5</v>
      </c>
      <c r="F56" s="197">
        <v>2.5</v>
      </c>
      <c r="G56" s="197">
        <v>2.5</v>
      </c>
      <c r="H56" s="197">
        <v>3</v>
      </c>
      <c r="I56" s="197">
        <v>3.5</v>
      </c>
      <c r="J56" s="197">
        <v>2.5</v>
      </c>
      <c r="K56" s="197">
        <v>4.5</v>
      </c>
      <c r="L56" s="197">
        <v>3.5</v>
      </c>
      <c r="M56" s="197">
        <v>3</v>
      </c>
      <c r="N56" s="197"/>
      <c r="O56" s="197">
        <v>3.5</v>
      </c>
      <c r="P56" s="197"/>
      <c r="Q56" s="197"/>
      <c r="R56" s="197">
        <v>2.5</v>
      </c>
      <c r="S56" s="197">
        <v>3.5</v>
      </c>
      <c r="T56" s="197">
        <v>1</v>
      </c>
      <c r="U56" s="197"/>
      <c r="V56" s="197"/>
      <c r="W56" s="197">
        <v>1</v>
      </c>
      <c r="X56" s="197">
        <v>1.5</v>
      </c>
      <c r="Y56" s="197">
        <v>2</v>
      </c>
      <c r="Z56" s="197">
        <v>3</v>
      </c>
      <c r="AA56" s="197">
        <v>2</v>
      </c>
      <c r="AB56" s="197">
        <v>2.5</v>
      </c>
      <c r="AC56" s="207">
        <v>1.5</v>
      </c>
      <c r="AD56" s="208"/>
      <c r="AE56" s="9">
        <f t="shared" si="8"/>
        <v>21</v>
      </c>
      <c r="AF56" s="9">
        <f t="shared" si="9"/>
        <v>55</v>
      </c>
      <c r="AG56" s="89">
        <f t="shared" si="10"/>
        <v>2.6190476190476191</v>
      </c>
      <c r="AH56" s="9">
        <f t="shared" si="11"/>
        <v>325</v>
      </c>
    </row>
    <row r="57" spans="1:34">
      <c r="A57" s="2" t="s">
        <v>46</v>
      </c>
      <c r="B57" s="84" t="str">
        <f>INDEX(Soupiska!$A$3:$B$27,MATCH(A57,Soupiska!$A$3:$A$27,0),2)</f>
        <v>C</v>
      </c>
      <c r="C57" s="206"/>
      <c r="D57" s="197"/>
      <c r="E57" s="197"/>
      <c r="F57" s="197"/>
      <c r="G57" s="197"/>
      <c r="H57" s="197"/>
      <c r="I57" s="197"/>
      <c r="J57" s="197"/>
      <c r="K57" s="197">
        <v>1</v>
      </c>
      <c r="L57" s="197"/>
      <c r="M57" s="197"/>
      <c r="N57" s="197"/>
      <c r="O57" s="197"/>
      <c r="P57" s="197"/>
      <c r="Q57" s="197">
        <v>0</v>
      </c>
      <c r="R57" s="197"/>
      <c r="S57" s="197"/>
      <c r="T57" s="197"/>
      <c r="U57" s="197"/>
      <c r="V57" s="197"/>
      <c r="W57" s="197"/>
      <c r="X57" s="197"/>
      <c r="Y57" s="197">
        <v>0</v>
      </c>
      <c r="Z57" s="197"/>
      <c r="AA57" s="197"/>
      <c r="AB57" s="197"/>
      <c r="AC57" s="207"/>
      <c r="AD57" s="208"/>
      <c r="AE57" s="9">
        <f t="shared" si="8"/>
        <v>3</v>
      </c>
      <c r="AF57" s="9">
        <f t="shared" si="9"/>
        <v>1</v>
      </c>
      <c r="AG57" s="89">
        <f t="shared" si="10"/>
        <v>0.33333333333333331</v>
      </c>
      <c r="AH57" s="9">
        <f t="shared" si="11"/>
        <v>19</v>
      </c>
    </row>
    <row r="58" spans="1:34">
      <c r="A58" s="2" t="s">
        <v>159</v>
      </c>
      <c r="B58" s="84" t="str">
        <f>INDEX(Soupiska!$A$3:$B$27,MATCH(A58,Soupiska!$A$3:$A$27,0),2)</f>
        <v>C</v>
      </c>
      <c r="C58" s="206"/>
      <c r="D58" s="197">
        <v>1.5</v>
      </c>
      <c r="E58" s="197">
        <v>2.5</v>
      </c>
      <c r="F58" s="197">
        <v>3.5</v>
      </c>
      <c r="G58" s="197">
        <v>3.5</v>
      </c>
      <c r="H58" s="197"/>
      <c r="I58" s="197">
        <v>2.5</v>
      </c>
      <c r="J58" s="197">
        <v>2.5</v>
      </c>
      <c r="K58" s="197">
        <v>2.5</v>
      </c>
      <c r="L58" s="197"/>
      <c r="M58" s="197"/>
      <c r="N58" s="197"/>
      <c r="O58" s="197"/>
      <c r="P58" s="197">
        <v>3.5</v>
      </c>
      <c r="Q58" s="197">
        <v>4</v>
      </c>
      <c r="R58" s="197">
        <v>2.5</v>
      </c>
      <c r="S58" s="197">
        <v>1.5</v>
      </c>
      <c r="T58" s="197">
        <v>3.5</v>
      </c>
      <c r="U58" s="197">
        <v>4</v>
      </c>
      <c r="V58" s="197">
        <v>0.5</v>
      </c>
      <c r="W58" s="197"/>
      <c r="X58" s="197">
        <v>3</v>
      </c>
      <c r="Y58" s="197">
        <v>3.5</v>
      </c>
      <c r="Z58" s="197">
        <v>2.5</v>
      </c>
      <c r="AA58" s="197">
        <v>4.5</v>
      </c>
      <c r="AB58" s="197">
        <v>2.5</v>
      </c>
      <c r="AC58" s="207">
        <v>2.5</v>
      </c>
      <c r="AD58" s="208"/>
      <c r="AE58" s="9">
        <f t="shared" ref="AE58" si="12">COUNTA(D58:AC58)</f>
        <v>20</v>
      </c>
      <c r="AF58" s="9">
        <f t="shared" ref="AF58" si="13">SUM(D58:AC58)</f>
        <v>56.5</v>
      </c>
      <c r="AG58" s="89">
        <f t="shared" ref="AG58" si="14">IF(ISERROR(AF58/AE58),"NIC",AF58/AE58)</f>
        <v>2.8250000000000002</v>
      </c>
      <c r="AH58" s="9">
        <f t="shared" si="11"/>
        <v>326</v>
      </c>
    </row>
    <row r="59" spans="1:34">
      <c r="A59" s="2" t="s">
        <v>122</v>
      </c>
      <c r="B59" s="84" t="str">
        <f>INDEX(Soupiska!$A$3:$B$27,MATCH(A59,Soupiska!$A$3:$A$27,0),2)</f>
        <v>D</v>
      </c>
      <c r="C59" s="206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207"/>
      <c r="AD59" s="208"/>
      <c r="AE59" s="9">
        <f t="shared" si="8"/>
        <v>0</v>
      </c>
      <c r="AF59" s="9">
        <f t="shared" ref="AF59" si="15">SUM(D59:AC59)</f>
        <v>0</v>
      </c>
      <c r="AG59" s="89" t="str">
        <f t="shared" si="10"/>
        <v>NIC</v>
      </c>
      <c r="AH59" s="9">
        <f t="shared" si="11"/>
        <v>0</v>
      </c>
    </row>
    <row r="60" spans="1:34">
      <c r="A60" s="2" t="s">
        <v>51</v>
      </c>
      <c r="B60" s="84" t="str">
        <f>INDEX(Soupiska!$A$3:$B$27,MATCH(A60,Soupiska!$A$3:$A$27,0),2)</f>
        <v>D</v>
      </c>
      <c r="C60" s="206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207"/>
      <c r="AD60" s="208"/>
      <c r="AE60" s="9">
        <f t="shared" si="8"/>
        <v>0</v>
      </c>
      <c r="AF60" s="9">
        <f t="shared" ref="AF60:AF67" si="16">SUM(D60:AC60)</f>
        <v>0</v>
      </c>
      <c r="AG60" s="89" t="str">
        <f t="shared" si="10"/>
        <v>NIC</v>
      </c>
      <c r="AH60" s="9">
        <f t="shared" si="11"/>
        <v>0</v>
      </c>
    </row>
    <row r="61" spans="1:34">
      <c r="A61" s="2" t="s">
        <v>52</v>
      </c>
      <c r="B61" s="84" t="str">
        <f>INDEX(Soupiska!$A$3:$B$27,MATCH(A61,Soupiska!$A$3:$A$27,0),2)</f>
        <v>C</v>
      </c>
      <c r="C61" s="206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>
        <v>0</v>
      </c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207">
        <v>0</v>
      </c>
      <c r="AD61" s="208"/>
      <c r="AE61" s="9">
        <f t="shared" si="8"/>
        <v>2</v>
      </c>
      <c r="AF61" s="9">
        <f t="shared" si="16"/>
        <v>0</v>
      </c>
      <c r="AG61" s="89">
        <f t="shared" si="10"/>
        <v>0</v>
      </c>
      <c r="AH61" s="9">
        <f t="shared" si="11"/>
        <v>10</v>
      </c>
    </row>
    <row r="62" spans="1:34">
      <c r="A62" s="2" t="s">
        <v>54</v>
      </c>
      <c r="B62" s="84" t="str">
        <f>INDEX(Soupiska!$A$3:$B$27,MATCH(A62,Soupiska!$A$3:$A$27,0),2)</f>
        <v>D</v>
      </c>
      <c r="C62" s="206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207"/>
      <c r="AD62" s="208"/>
      <c r="AE62" s="9">
        <f t="shared" si="8"/>
        <v>0</v>
      </c>
      <c r="AF62" s="9">
        <f t="shared" si="16"/>
        <v>0</v>
      </c>
      <c r="AG62" s="89" t="str">
        <f t="shared" si="10"/>
        <v>NIC</v>
      </c>
      <c r="AH62" s="9">
        <f t="shared" si="11"/>
        <v>0</v>
      </c>
    </row>
    <row r="63" spans="1:34">
      <c r="A63" s="2" t="s">
        <v>55</v>
      </c>
      <c r="B63" s="84" t="str">
        <f>INDEX(Soupiska!$A$3:$B$27,MATCH(A63,Soupiska!$A$3:$A$27,0),2)</f>
        <v>D</v>
      </c>
      <c r="C63" s="206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207"/>
      <c r="AD63" s="208"/>
      <c r="AE63" s="9">
        <f t="shared" si="8"/>
        <v>0</v>
      </c>
      <c r="AF63" s="9">
        <f t="shared" si="16"/>
        <v>0</v>
      </c>
      <c r="AG63" s="89" t="str">
        <f t="shared" si="10"/>
        <v>NIC</v>
      </c>
      <c r="AH63" s="9">
        <f t="shared" si="11"/>
        <v>0</v>
      </c>
    </row>
    <row r="64" spans="1:34">
      <c r="A64" s="2" t="s">
        <v>95</v>
      </c>
      <c r="B64" s="84" t="str">
        <f>INDEX(Soupiska!$A$3:$B$27,MATCH(A64,Soupiska!$A$3:$A$27,0),2)</f>
        <v>B</v>
      </c>
      <c r="C64" s="206"/>
      <c r="D64" s="197"/>
      <c r="E64" s="197"/>
      <c r="F64" s="197"/>
      <c r="G64" s="197">
        <v>2.5</v>
      </c>
      <c r="H64" s="197"/>
      <c r="I64" s="197"/>
      <c r="J64" s="197"/>
      <c r="K64" s="197"/>
      <c r="L64" s="197"/>
      <c r="M64" s="197"/>
      <c r="N64" s="197">
        <v>1</v>
      </c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207"/>
      <c r="AD64" s="208"/>
      <c r="AE64" s="9">
        <f t="shared" si="8"/>
        <v>2</v>
      </c>
      <c r="AF64" s="9">
        <f t="shared" si="16"/>
        <v>3.5</v>
      </c>
      <c r="AG64" s="89">
        <f t="shared" si="10"/>
        <v>1.75</v>
      </c>
      <c r="AH64" s="9">
        <f t="shared" si="11"/>
        <v>24</v>
      </c>
    </row>
    <row r="65" spans="1:34">
      <c r="A65" s="2" t="s">
        <v>161</v>
      </c>
      <c r="B65" s="84" t="s">
        <v>99</v>
      </c>
      <c r="C65" s="206"/>
      <c r="D65" s="197"/>
      <c r="E65" s="197"/>
      <c r="F65" s="197"/>
      <c r="G65" s="197"/>
      <c r="H65" s="197"/>
      <c r="I65" s="197"/>
      <c r="J65" s="197"/>
      <c r="K65" s="197"/>
      <c r="L65" s="197">
        <v>3.5</v>
      </c>
      <c r="M65" s="197">
        <v>2.5</v>
      </c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207"/>
      <c r="AD65" s="208"/>
      <c r="AE65" s="9">
        <f t="shared" si="8"/>
        <v>2</v>
      </c>
      <c r="AF65" s="9">
        <f t="shared" si="16"/>
        <v>6</v>
      </c>
      <c r="AG65" s="89">
        <f t="shared" si="10"/>
        <v>3</v>
      </c>
      <c r="AH65" s="9">
        <f t="shared" si="11"/>
        <v>34</v>
      </c>
    </row>
    <row r="66" spans="1:34">
      <c r="A66" s="2" t="s">
        <v>58</v>
      </c>
      <c r="B66" s="84" t="str">
        <f>INDEX(Soupiska!$A$3:$B$27,MATCH(A66,Soupiska!$A$3:$A$27,0),2)</f>
        <v>D</v>
      </c>
      <c r="C66" s="206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207"/>
      <c r="AD66" s="208"/>
      <c r="AE66" s="9">
        <f t="shared" si="8"/>
        <v>0</v>
      </c>
      <c r="AF66" s="9">
        <f t="shared" si="16"/>
        <v>0</v>
      </c>
      <c r="AG66" s="89" t="str">
        <f t="shared" si="10"/>
        <v>NIC</v>
      </c>
      <c r="AH66" s="9">
        <f t="shared" si="11"/>
        <v>0</v>
      </c>
    </row>
    <row r="67" spans="1:34">
      <c r="A67" s="2" t="s">
        <v>59</v>
      </c>
      <c r="B67" s="84" t="str">
        <f>INDEX(Soupiska!$A$3:$B$27,MATCH(A67,Soupiska!$A$3:$A$27,0),2)</f>
        <v>D</v>
      </c>
      <c r="C67" s="206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207"/>
      <c r="AD67" s="208"/>
      <c r="AE67" s="9">
        <f t="shared" si="8"/>
        <v>0</v>
      </c>
      <c r="AF67" s="9">
        <f t="shared" si="16"/>
        <v>0</v>
      </c>
      <c r="AG67" s="89" t="str">
        <f t="shared" si="10"/>
        <v>NIC</v>
      </c>
      <c r="AH67" s="9">
        <f t="shared" si="11"/>
        <v>0</v>
      </c>
    </row>
    <row r="68" spans="1:34" ht="15.75" customHeight="1" thickBot="1">
      <c r="AH68" s="11">
        <f>SUM(AH51:AH67)</f>
        <v>1588</v>
      </c>
    </row>
    <row r="69" spans="1:34">
      <c r="A69" s="316"/>
      <c r="B69" s="317"/>
      <c r="C69" s="202"/>
      <c r="D69" s="244" t="s">
        <v>74</v>
      </c>
      <c r="E69" s="318"/>
      <c r="F69" s="318"/>
      <c r="G69" s="318"/>
      <c r="H69" s="318"/>
      <c r="I69" s="318"/>
      <c r="J69" s="318"/>
      <c r="K69" s="318"/>
      <c r="L69" s="318"/>
      <c r="M69" s="320" t="s">
        <v>73</v>
      </c>
      <c r="N69" s="318"/>
      <c r="O69" s="312" t="s">
        <v>78</v>
      </c>
      <c r="P69" s="247"/>
      <c r="Q69" s="247"/>
      <c r="R69" s="252"/>
      <c r="S69" s="95"/>
      <c r="T69" s="95"/>
    </row>
    <row r="70" spans="1:34" ht="15.75" thickBot="1">
      <c r="A70" s="316"/>
      <c r="B70" s="317"/>
      <c r="C70" s="202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50" t="s">
        <v>100</v>
      </c>
      <c r="P70" s="75" t="s">
        <v>99</v>
      </c>
      <c r="Q70" s="201" t="s">
        <v>97</v>
      </c>
      <c r="R70" s="51" t="s">
        <v>98</v>
      </c>
      <c r="S70" s="61"/>
      <c r="T70" s="61"/>
    </row>
    <row r="71" spans="1:34">
      <c r="A71" s="321"/>
      <c r="B71" s="322"/>
      <c r="C71" s="203"/>
      <c r="D71" s="323" t="s">
        <v>155</v>
      </c>
      <c r="E71" s="324"/>
      <c r="F71" s="324"/>
      <c r="G71" s="324"/>
      <c r="H71" s="324"/>
      <c r="I71" s="324"/>
      <c r="J71" s="324"/>
      <c r="K71" s="324"/>
      <c r="L71" s="325"/>
      <c r="M71" s="326">
        <v>5</v>
      </c>
      <c r="N71" s="327"/>
      <c r="O71" s="199"/>
      <c r="P71" s="21">
        <v>4</v>
      </c>
      <c r="Q71" s="21">
        <v>4</v>
      </c>
      <c r="R71" s="44">
        <v>4</v>
      </c>
      <c r="S71" s="62"/>
      <c r="T71" s="62"/>
    </row>
    <row r="73" spans="1:34" ht="21.75" thickBot="1">
      <c r="A73" s="263" t="s">
        <v>152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</row>
    <row r="74" spans="1:34" s="109" customFormat="1" ht="12" thickBot="1">
      <c r="A74" s="4" t="s">
        <v>36</v>
      </c>
      <c r="B74" s="80" t="s">
        <v>96</v>
      </c>
      <c r="C74" s="80"/>
      <c r="D74" s="5" t="s">
        <v>1</v>
      </c>
      <c r="E74" s="5" t="s">
        <v>2</v>
      </c>
      <c r="F74" s="5" t="s">
        <v>3</v>
      </c>
      <c r="G74" s="5" t="s">
        <v>4</v>
      </c>
      <c r="H74" s="5" t="s">
        <v>5</v>
      </c>
      <c r="I74" s="5" t="s">
        <v>6</v>
      </c>
      <c r="J74" s="5" t="s">
        <v>7</v>
      </c>
      <c r="K74" s="5" t="s">
        <v>8</v>
      </c>
      <c r="L74" s="5" t="s">
        <v>9</v>
      </c>
      <c r="M74" s="5" t="s">
        <v>10</v>
      </c>
      <c r="N74" s="5" t="s">
        <v>11</v>
      </c>
      <c r="O74" s="5" t="s">
        <v>12</v>
      </c>
      <c r="P74" s="5" t="s">
        <v>13</v>
      </c>
      <c r="Q74" s="5" t="s">
        <v>14</v>
      </c>
      <c r="R74" s="5" t="s">
        <v>15</v>
      </c>
      <c r="S74" s="5" t="s">
        <v>16</v>
      </c>
      <c r="T74" s="5" t="s">
        <v>17</v>
      </c>
      <c r="U74" s="5" t="s">
        <v>18</v>
      </c>
      <c r="V74" s="5" t="s">
        <v>19</v>
      </c>
      <c r="W74" s="5" t="s">
        <v>20</v>
      </c>
      <c r="X74" s="6" t="s">
        <v>21</v>
      </c>
      <c r="Y74" s="5" t="s">
        <v>111</v>
      </c>
      <c r="Z74" s="5" t="s">
        <v>111</v>
      </c>
      <c r="AA74" s="5" t="s">
        <v>112</v>
      </c>
      <c r="AB74" s="5" t="s">
        <v>112</v>
      </c>
      <c r="AC74" s="82" t="s">
        <v>112</v>
      </c>
      <c r="AD74" s="81" t="s">
        <v>70</v>
      </c>
      <c r="AE74" s="86" t="s">
        <v>113</v>
      </c>
      <c r="AF74" s="86" t="s">
        <v>109</v>
      </c>
      <c r="AG74" s="87" t="s">
        <v>114</v>
      </c>
      <c r="AH74" s="86" t="s">
        <v>61</v>
      </c>
    </row>
    <row r="75" spans="1:34">
      <c r="A75" s="2" t="s">
        <v>41</v>
      </c>
      <c r="B75" s="84" t="str">
        <f>INDEX(Soupiska!$A$3:$B$27,MATCH(A75,Soupiska!$A$3:$A$27,0),2)</f>
        <v>D</v>
      </c>
      <c r="C75" s="206"/>
      <c r="D75" s="197"/>
      <c r="E75" s="197"/>
      <c r="F75" s="197"/>
      <c r="G75" s="197">
        <v>0</v>
      </c>
      <c r="H75" s="197"/>
      <c r="I75" s="197"/>
      <c r="J75" s="197"/>
      <c r="K75" s="197">
        <v>1</v>
      </c>
      <c r="L75" s="197">
        <v>1</v>
      </c>
      <c r="M75" s="197"/>
      <c r="N75" s="197"/>
      <c r="O75" s="197"/>
      <c r="P75" s="197"/>
      <c r="Q75" s="197"/>
      <c r="R75" s="197">
        <v>1.5</v>
      </c>
      <c r="S75" s="197"/>
      <c r="T75" s="197"/>
      <c r="U75" s="197">
        <v>3</v>
      </c>
      <c r="V75" s="197"/>
      <c r="W75" s="197"/>
      <c r="X75" s="197"/>
      <c r="Y75" s="197"/>
      <c r="Z75" s="197"/>
      <c r="AA75" s="197"/>
      <c r="AB75" s="197"/>
      <c r="AC75" s="207"/>
      <c r="AD75" s="208"/>
      <c r="AE75" s="9">
        <f t="shared" ref="AE75:AE87" si="17">COUNTA(D75:AC75)</f>
        <v>5</v>
      </c>
      <c r="AF75" s="9">
        <f t="shared" ref="AF75:AF78" si="18">SUM(D75:AC75)</f>
        <v>6.5</v>
      </c>
      <c r="AG75" s="89">
        <f t="shared" ref="AG75:AG87" si="19">IF(ISERROR(AF75/AE75),"NIC",AF75/AE75)</f>
        <v>1.3</v>
      </c>
      <c r="AH75" s="9">
        <f t="shared" ref="AH75:AH87" si="20">CEILING((AE75*$M$91)+(AF75*(LOOKUP(B75,$O$90:$R$90,$O$91:$R$91))),1)+AD75</f>
        <v>51</v>
      </c>
    </row>
    <row r="76" spans="1:34">
      <c r="A76" s="2" t="s">
        <v>44</v>
      </c>
      <c r="B76" s="84" t="str">
        <f>INDEX(Soupiska!$A$3:$B$27,MATCH(A76,Soupiska!$A$3:$A$27,0),2)</f>
        <v>C</v>
      </c>
      <c r="C76" s="206"/>
      <c r="D76" s="197">
        <v>1</v>
      </c>
      <c r="E76" s="197">
        <v>4</v>
      </c>
      <c r="F76" s="197">
        <v>2.5</v>
      </c>
      <c r="G76" s="197">
        <v>2.5</v>
      </c>
      <c r="H76" s="197">
        <v>1</v>
      </c>
      <c r="I76" s="197">
        <v>1.5</v>
      </c>
      <c r="J76" s="197">
        <v>2.5</v>
      </c>
      <c r="K76" s="197">
        <v>2</v>
      </c>
      <c r="L76" s="197"/>
      <c r="M76" s="197">
        <v>0</v>
      </c>
      <c r="N76" s="197">
        <v>4</v>
      </c>
      <c r="O76" s="197">
        <v>3</v>
      </c>
      <c r="P76" s="197">
        <v>3.5</v>
      </c>
      <c r="Q76" s="197">
        <v>4.5</v>
      </c>
      <c r="R76" s="197">
        <v>1.5</v>
      </c>
      <c r="S76" s="197">
        <v>3</v>
      </c>
      <c r="T76" s="197">
        <v>2</v>
      </c>
      <c r="U76" s="197">
        <v>3.5</v>
      </c>
      <c r="V76" s="197"/>
      <c r="W76" s="197"/>
      <c r="X76" s="197"/>
      <c r="Y76" s="197">
        <v>0</v>
      </c>
      <c r="Z76" s="197">
        <v>1</v>
      </c>
      <c r="AA76" s="197">
        <v>1</v>
      </c>
      <c r="AB76" s="21">
        <v>0.5</v>
      </c>
      <c r="AC76" s="207">
        <v>0</v>
      </c>
      <c r="AD76" s="208"/>
      <c r="AE76" s="9">
        <f t="shared" si="17"/>
        <v>22</v>
      </c>
      <c r="AF76" s="9">
        <f t="shared" si="18"/>
        <v>44.5</v>
      </c>
      <c r="AG76" s="89">
        <f t="shared" si="19"/>
        <v>2.0227272727272729</v>
      </c>
      <c r="AH76" s="9">
        <f t="shared" si="20"/>
        <v>288</v>
      </c>
    </row>
    <row r="77" spans="1:34">
      <c r="A77" s="2" t="s">
        <v>45</v>
      </c>
      <c r="B77" s="84" t="str">
        <f>INDEX(Soupiska!$A$3:$B$27,MATCH(A77,Soupiska!$A$3:$A$27,0),2)</f>
        <v>B</v>
      </c>
      <c r="C77" s="206"/>
      <c r="D77" s="197">
        <v>4</v>
      </c>
      <c r="E77" s="197"/>
      <c r="F77" s="197">
        <v>4.5</v>
      </c>
      <c r="G77" s="197">
        <v>2.5</v>
      </c>
      <c r="H77" s="197"/>
      <c r="I77" s="197">
        <v>4.5</v>
      </c>
      <c r="J77" s="197"/>
      <c r="K77" s="197">
        <v>4</v>
      </c>
      <c r="L77" s="197">
        <v>3.5</v>
      </c>
      <c r="M77" s="197">
        <v>4.5</v>
      </c>
      <c r="N77" s="197"/>
      <c r="O77" s="197">
        <v>4.5</v>
      </c>
      <c r="P77" s="197"/>
      <c r="Q77" s="197"/>
      <c r="R77" s="197">
        <v>4.5</v>
      </c>
      <c r="S77" s="197"/>
      <c r="T77" s="197">
        <v>4</v>
      </c>
      <c r="U77" s="197"/>
      <c r="V77" s="197"/>
      <c r="W77" s="197"/>
      <c r="X77" s="197"/>
      <c r="Y77" s="197">
        <v>4.5</v>
      </c>
      <c r="Z77" s="197">
        <v>4.5</v>
      </c>
      <c r="AA77" s="197">
        <v>3.5</v>
      </c>
      <c r="AB77" s="21">
        <v>2.5</v>
      </c>
      <c r="AC77" s="207">
        <v>3.5</v>
      </c>
      <c r="AD77" s="208"/>
      <c r="AE77" s="9">
        <f t="shared" si="17"/>
        <v>15</v>
      </c>
      <c r="AF77" s="9">
        <f t="shared" si="18"/>
        <v>59</v>
      </c>
      <c r="AG77" s="89">
        <f t="shared" si="19"/>
        <v>3.9333333333333331</v>
      </c>
      <c r="AH77" s="9">
        <f t="shared" si="20"/>
        <v>311</v>
      </c>
    </row>
    <row r="78" spans="1:34">
      <c r="A78" s="2" t="s">
        <v>46</v>
      </c>
      <c r="B78" s="84" t="str">
        <f>INDEX(Soupiska!$A$3:$B$27,MATCH(A78,Soupiska!$A$3:$A$27,0),2)</f>
        <v>C</v>
      </c>
      <c r="C78" s="206"/>
      <c r="D78" s="197">
        <v>2.5</v>
      </c>
      <c r="E78" s="197">
        <v>1.5</v>
      </c>
      <c r="F78" s="197"/>
      <c r="G78" s="197"/>
      <c r="H78" s="197">
        <v>2.5</v>
      </c>
      <c r="I78" s="197">
        <v>0.5</v>
      </c>
      <c r="J78" s="197">
        <v>2.5</v>
      </c>
      <c r="K78" s="197">
        <v>3</v>
      </c>
      <c r="L78" s="197">
        <v>0</v>
      </c>
      <c r="M78" s="197">
        <v>2</v>
      </c>
      <c r="N78" s="197">
        <v>2.5</v>
      </c>
      <c r="O78" s="197">
        <v>2</v>
      </c>
      <c r="P78" s="197">
        <v>4.5</v>
      </c>
      <c r="Q78" s="197">
        <v>4.5</v>
      </c>
      <c r="R78" s="197">
        <v>1.5</v>
      </c>
      <c r="S78" s="197">
        <v>2</v>
      </c>
      <c r="T78" s="197">
        <v>1</v>
      </c>
      <c r="U78" s="197">
        <v>3.5</v>
      </c>
      <c r="V78" s="197"/>
      <c r="W78" s="197"/>
      <c r="X78" s="197"/>
      <c r="Y78" s="197">
        <v>1</v>
      </c>
      <c r="Z78" s="197">
        <v>1</v>
      </c>
      <c r="AA78" s="197">
        <v>1</v>
      </c>
      <c r="AB78" s="21">
        <v>0</v>
      </c>
      <c r="AC78" s="207">
        <v>0</v>
      </c>
      <c r="AD78" s="208"/>
      <c r="AE78" s="9">
        <f t="shared" si="17"/>
        <v>21</v>
      </c>
      <c r="AF78" s="9">
        <f t="shared" si="18"/>
        <v>39</v>
      </c>
      <c r="AG78" s="89">
        <f t="shared" si="19"/>
        <v>1.8571428571428572</v>
      </c>
      <c r="AH78" s="9">
        <f t="shared" si="20"/>
        <v>261</v>
      </c>
    </row>
    <row r="79" spans="1:34">
      <c r="A79" s="2" t="s">
        <v>159</v>
      </c>
      <c r="B79" s="84" t="str">
        <f>INDEX(Soupiska!$A$3:$B$27,MATCH(A79,Soupiska!$A$3:$A$27,0),2)</f>
        <v>C</v>
      </c>
      <c r="C79" s="206"/>
      <c r="D79" s="197">
        <v>4.5</v>
      </c>
      <c r="E79" s="197">
        <v>4.5</v>
      </c>
      <c r="F79" s="197">
        <v>4.5</v>
      </c>
      <c r="G79" s="197">
        <v>4.5</v>
      </c>
      <c r="H79" s="197">
        <v>4.5</v>
      </c>
      <c r="I79" s="197">
        <v>4.5</v>
      </c>
      <c r="J79" s="197">
        <v>4.5</v>
      </c>
      <c r="K79" s="197"/>
      <c r="L79" s="197"/>
      <c r="M79" s="197"/>
      <c r="N79" s="197">
        <v>4.5</v>
      </c>
      <c r="O79" s="197"/>
      <c r="P79" s="197">
        <v>4.5</v>
      </c>
      <c r="Q79" s="197">
        <v>4.5</v>
      </c>
      <c r="R79" s="197"/>
      <c r="S79" s="197">
        <v>4</v>
      </c>
      <c r="T79" s="197"/>
      <c r="U79" s="197"/>
      <c r="V79" s="197"/>
      <c r="W79" s="197"/>
      <c r="X79" s="197"/>
      <c r="Y79" s="197">
        <v>3.5</v>
      </c>
      <c r="Z79" s="197">
        <v>3.5</v>
      </c>
      <c r="AA79" s="197">
        <v>4.5</v>
      </c>
      <c r="AB79" s="21">
        <v>3.5</v>
      </c>
      <c r="AC79" s="207">
        <v>3.5</v>
      </c>
      <c r="AD79" s="208"/>
      <c r="AE79" s="9">
        <f t="shared" ref="AE79" si="21">COUNTA(D79:AC79)</f>
        <v>16</v>
      </c>
      <c r="AF79" s="9">
        <f t="shared" ref="AF79" si="22">SUM(D79:AC79)</f>
        <v>67.5</v>
      </c>
      <c r="AG79" s="89">
        <f t="shared" ref="AG79" si="23">IF(ISERROR(AF79/AE79),"NIC",AF79/AE79)</f>
        <v>4.21875</v>
      </c>
      <c r="AH79" s="9">
        <f t="shared" si="20"/>
        <v>350</v>
      </c>
    </row>
    <row r="80" spans="1:34">
      <c r="A80" s="2" t="s">
        <v>122</v>
      </c>
      <c r="B80" s="84" t="str">
        <f>INDEX(Soupiska!$A$3:$B$27,MATCH(A80,Soupiska!$A$3:$A$27,0),2)</f>
        <v>D</v>
      </c>
      <c r="C80" s="206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21"/>
      <c r="AC80" s="207"/>
      <c r="AD80" s="208"/>
      <c r="AE80" s="9">
        <f t="shared" si="17"/>
        <v>0</v>
      </c>
      <c r="AF80" s="9">
        <f t="shared" ref="AF80" si="24">SUM(D80:AC80)</f>
        <v>0</v>
      </c>
      <c r="AG80" s="89" t="str">
        <f t="shared" si="19"/>
        <v>NIC</v>
      </c>
      <c r="AH80" s="9">
        <f t="shared" si="20"/>
        <v>0</v>
      </c>
    </row>
    <row r="81" spans="1:34">
      <c r="A81" s="2" t="s">
        <v>51</v>
      </c>
      <c r="B81" s="84" t="str">
        <f>INDEX(Soupiska!$A$3:$B$27,MATCH(A81,Soupiska!$A$3:$A$27,0),2)</f>
        <v>D</v>
      </c>
      <c r="C81" s="206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21"/>
      <c r="AC81" s="207"/>
      <c r="AD81" s="208"/>
      <c r="AE81" s="9">
        <f t="shared" si="17"/>
        <v>0</v>
      </c>
      <c r="AF81" s="9">
        <f t="shared" ref="AF81:AF87" si="25">SUM(D81:AC81)</f>
        <v>0</v>
      </c>
      <c r="AG81" s="89" t="str">
        <f t="shared" si="19"/>
        <v>NIC</v>
      </c>
      <c r="AH81" s="9">
        <f t="shared" si="20"/>
        <v>0</v>
      </c>
    </row>
    <row r="82" spans="1:34">
      <c r="A82" s="2" t="s">
        <v>52</v>
      </c>
      <c r="B82" s="84" t="str">
        <f>INDEX(Soupiska!$A$3:$B$27,MATCH(A82,Soupiska!$A$3:$A$27,0),2)</f>
        <v>C</v>
      </c>
      <c r="C82" s="206"/>
      <c r="D82" s="197"/>
      <c r="E82" s="197">
        <v>2</v>
      </c>
      <c r="F82" s="197">
        <v>2.5</v>
      </c>
      <c r="G82" s="197">
        <v>2.5</v>
      </c>
      <c r="H82" s="197">
        <v>1</v>
      </c>
      <c r="I82" s="197"/>
      <c r="J82" s="197">
        <v>3.5</v>
      </c>
      <c r="K82" s="197"/>
      <c r="L82" s="197">
        <v>0.5</v>
      </c>
      <c r="M82" s="197">
        <v>1.5</v>
      </c>
      <c r="N82" s="197"/>
      <c r="O82" s="197">
        <v>1.5</v>
      </c>
      <c r="P82" s="197">
        <v>4.5</v>
      </c>
      <c r="Q82" s="197">
        <v>1.5</v>
      </c>
      <c r="R82" s="197"/>
      <c r="S82" s="197"/>
      <c r="T82" s="197">
        <v>2</v>
      </c>
      <c r="U82" s="197"/>
      <c r="V82" s="197"/>
      <c r="W82" s="197"/>
      <c r="X82" s="197"/>
      <c r="Y82" s="197">
        <v>0</v>
      </c>
      <c r="Z82" s="197"/>
      <c r="AA82" s="197"/>
      <c r="AB82" s="21"/>
      <c r="AC82" s="207"/>
      <c r="AD82" s="208"/>
      <c r="AE82" s="9">
        <f t="shared" si="17"/>
        <v>12</v>
      </c>
      <c r="AF82" s="9">
        <f t="shared" si="25"/>
        <v>23</v>
      </c>
      <c r="AG82" s="89">
        <f t="shared" si="19"/>
        <v>1.9166666666666667</v>
      </c>
      <c r="AH82" s="9">
        <f t="shared" si="20"/>
        <v>152</v>
      </c>
    </row>
    <row r="83" spans="1:34">
      <c r="A83" s="2" t="s">
        <v>54</v>
      </c>
      <c r="B83" s="84" t="str">
        <f>INDEX(Soupiska!$A$3:$B$27,MATCH(A83,Soupiska!$A$3:$A$27,0),2)</f>
        <v>D</v>
      </c>
      <c r="C83" s="206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207"/>
      <c r="AD83" s="208"/>
      <c r="AE83" s="9">
        <f t="shared" si="17"/>
        <v>0</v>
      </c>
      <c r="AF83" s="9">
        <f t="shared" si="25"/>
        <v>0</v>
      </c>
      <c r="AG83" s="89" t="str">
        <f t="shared" si="19"/>
        <v>NIC</v>
      </c>
      <c r="AH83" s="9">
        <f t="shared" si="20"/>
        <v>0</v>
      </c>
    </row>
    <row r="84" spans="1:34">
      <c r="A84" s="2" t="s">
        <v>55</v>
      </c>
      <c r="B84" s="84" t="str">
        <f>INDEX(Soupiska!$A$3:$B$27,MATCH(A84,Soupiska!$A$3:$A$27,0),2)</f>
        <v>D</v>
      </c>
      <c r="C84" s="206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207"/>
      <c r="AD84" s="208"/>
      <c r="AE84" s="9">
        <f t="shared" si="17"/>
        <v>0</v>
      </c>
      <c r="AF84" s="9">
        <f t="shared" si="25"/>
        <v>0</v>
      </c>
      <c r="AG84" s="89" t="str">
        <f t="shared" si="19"/>
        <v>NIC</v>
      </c>
      <c r="AH84" s="9">
        <f t="shared" si="20"/>
        <v>0</v>
      </c>
    </row>
    <row r="85" spans="1:34">
      <c r="A85" s="2" t="s">
        <v>57</v>
      </c>
      <c r="B85" s="84" t="str">
        <f>INDEX(Soupiska!$A$3:$B$27,MATCH(A85,Soupiska!$A$3:$A$27,0),2)</f>
        <v>A</v>
      </c>
      <c r="C85" s="206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207"/>
      <c r="AD85" s="208"/>
      <c r="AE85" s="9">
        <f t="shared" si="17"/>
        <v>0</v>
      </c>
      <c r="AF85" s="9">
        <f t="shared" si="25"/>
        <v>0</v>
      </c>
      <c r="AG85" s="89" t="str">
        <f t="shared" si="19"/>
        <v>NIC</v>
      </c>
      <c r="AH85" s="9">
        <f t="shared" si="20"/>
        <v>0</v>
      </c>
    </row>
    <row r="86" spans="1:34">
      <c r="A86" s="2" t="s">
        <v>58</v>
      </c>
      <c r="B86" s="84" t="str">
        <f>INDEX(Soupiska!$A$3:$B$27,MATCH(A86,Soupiska!$A$3:$A$27,0),2)</f>
        <v>D</v>
      </c>
      <c r="C86" s="206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207"/>
      <c r="AD86" s="208"/>
      <c r="AE86" s="9">
        <f t="shared" si="17"/>
        <v>0</v>
      </c>
      <c r="AF86" s="9">
        <f t="shared" si="25"/>
        <v>0</v>
      </c>
      <c r="AG86" s="89" t="str">
        <f t="shared" si="19"/>
        <v>NIC</v>
      </c>
      <c r="AH86" s="9">
        <f t="shared" si="20"/>
        <v>0</v>
      </c>
    </row>
    <row r="87" spans="1:34">
      <c r="A87" s="2" t="s">
        <v>59</v>
      </c>
      <c r="B87" s="84" t="str">
        <f>INDEX(Soupiska!$A$3:$B$27,MATCH(A87,Soupiska!$A$3:$A$27,0),2)</f>
        <v>D</v>
      </c>
      <c r="C87" s="206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>
        <v>3</v>
      </c>
      <c r="V87" s="197"/>
      <c r="W87" s="197"/>
      <c r="X87" s="197"/>
      <c r="Y87" s="197"/>
      <c r="Z87" s="197"/>
      <c r="AA87" s="197"/>
      <c r="AB87" s="197"/>
      <c r="AC87" s="207"/>
      <c r="AD87" s="208"/>
      <c r="AE87" s="9">
        <f t="shared" si="17"/>
        <v>1</v>
      </c>
      <c r="AF87" s="9">
        <f t="shared" si="25"/>
        <v>3</v>
      </c>
      <c r="AG87" s="89">
        <f t="shared" si="19"/>
        <v>3</v>
      </c>
      <c r="AH87" s="9">
        <f t="shared" si="20"/>
        <v>17</v>
      </c>
    </row>
    <row r="88" spans="1:34" ht="12.75" customHeight="1" thickBot="1">
      <c r="AH88" s="11">
        <f>SUM(AH75:AH87)</f>
        <v>1430</v>
      </c>
    </row>
    <row r="89" spans="1:34">
      <c r="A89" s="316"/>
      <c r="B89" s="317"/>
      <c r="C89" s="202"/>
      <c r="D89" s="244" t="s">
        <v>74</v>
      </c>
      <c r="E89" s="318"/>
      <c r="F89" s="318"/>
      <c r="G89" s="318"/>
      <c r="H89" s="318"/>
      <c r="I89" s="318"/>
      <c r="J89" s="318"/>
      <c r="K89" s="318"/>
      <c r="L89" s="318"/>
      <c r="M89" s="320" t="s">
        <v>73</v>
      </c>
      <c r="N89" s="318"/>
      <c r="O89" s="312" t="s">
        <v>78</v>
      </c>
      <c r="P89" s="247"/>
      <c r="Q89" s="247"/>
      <c r="R89" s="252"/>
      <c r="S89" s="95"/>
      <c r="T89" s="95"/>
    </row>
    <row r="90" spans="1:34" ht="15.75" thickBot="1">
      <c r="A90" s="316"/>
      <c r="B90" s="317"/>
      <c r="C90" s="202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50" t="s">
        <v>100</v>
      </c>
      <c r="P90" s="75" t="s">
        <v>99</v>
      </c>
      <c r="Q90" s="201" t="s">
        <v>97</v>
      </c>
      <c r="R90" s="51" t="s">
        <v>98</v>
      </c>
      <c r="S90" s="61"/>
      <c r="T90" s="61"/>
    </row>
    <row r="91" spans="1:34">
      <c r="A91" s="321"/>
      <c r="B91" s="322"/>
      <c r="C91" s="203"/>
      <c r="D91" s="323" t="s">
        <v>0</v>
      </c>
      <c r="E91" s="324"/>
      <c r="F91" s="324"/>
      <c r="G91" s="324"/>
      <c r="H91" s="324"/>
      <c r="I91" s="324"/>
      <c r="J91" s="324"/>
      <c r="K91" s="324"/>
      <c r="L91" s="325"/>
      <c r="M91" s="326">
        <v>5</v>
      </c>
      <c r="N91" s="327"/>
      <c r="O91" s="43"/>
      <c r="P91" s="21">
        <v>4</v>
      </c>
      <c r="Q91" s="21">
        <v>4</v>
      </c>
      <c r="R91" s="44">
        <v>4</v>
      </c>
      <c r="S91" s="62"/>
      <c r="T91" s="62"/>
    </row>
    <row r="93" spans="1:34" ht="21.75" thickBot="1">
      <c r="A93" s="263" t="s">
        <v>153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</row>
    <row r="94" spans="1:34" s="109" customFormat="1" ht="12" thickBot="1">
      <c r="A94" s="4" t="s">
        <v>36</v>
      </c>
      <c r="B94" s="80" t="s">
        <v>96</v>
      </c>
      <c r="C94" s="80"/>
      <c r="D94" s="5" t="s">
        <v>1</v>
      </c>
      <c r="E94" s="5" t="s">
        <v>2</v>
      </c>
      <c r="F94" s="5" t="s">
        <v>3</v>
      </c>
      <c r="G94" s="5" t="s">
        <v>4</v>
      </c>
      <c r="H94" s="5" t="s">
        <v>5</v>
      </c>
      <c r="I94" s="5" t="s">
        <v>6</v>
      </c>
      <c r="J94" s="5" t="s">
        <v>7</v>
      </c>
      <c r="K94" s="5" t="s">
        <v>8</v>
      </c>
      <c r="L94" s="5" t="s">
        <v>9</v>
      </c>
      <c r="M94" s="5" t="s">
        <v>10</v>
      </c>
      <c r="N94" s="5" t="s">
        <v>11</v>
      </c>
      <c r="O94" s="5" t="s">
        <v>12</v>
      </c>
      <c r="P94" s="5" t="s">
        <v>13</v>
      </c>
      <c r="Q94" s="5" t="s">
        <v>14</v>
      </c>
      <c r="R94" s="5" t="s">
        <v>15</v>
      </c>
      <c r="S94" s="5" t="s">
        <v>16</v>
      </c>
      <c r="T94" s="5" t="s">
        <v>17</v>
      </c>
      <c r="U94" s="5" t="s">
        <v>18</v>
      </c>
      <c r="V94" s="5" t="s">
        <v>19</v>
      </c>
      <c r="W94" s="5" t="s">
        <v>20</v>
      </c>
      <c r="X94" s="6" t="s">
        <v>21</v>
      </c>
      <c r="Y94" s="5" t="s">
        <v>22</v>
      </c>
      <c r="Z94" s="5" t="s">
        <v>111</v>
      </c>
      <c r="AA94" s="5" t="s">
        <v>111</v>
      </c>
      <c r="AB94" s="5" t="s">
        <v>112</v>
      </c>
      <c r="AC94" s="82" t="s">
        <v>112</v>
      </c>
      <c r="AD94" s="81" t="s">
        <v>70</v>
      </c>
      <c r="AE94" s="86" t="s">
        <v>113</v>
      </c>
      <c r="AF94" s="86" t="s">
        <v>109</v>
      </c>
      <c r="AG94" s="87" t="s">
        <v>114</v>
      </c>
      <c r="AH94" s="86" t="s">
        <v>61</v>
      </c>
    </row>
    <row r="95" spans="1:34">
      <c r="A95" s="2" t="s">
        <v>38</v>
      </c>
      <c r="B95" s="84" t="str">
        <f>INDEX(Soupiska!$A$3:$B$27,MATCH(A95,Soupiska!$A$3:$A$27,0),2)</f>
        <v>D</v>
      </c>
      <c r="C95" s="9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44"/>
      <c r="AD95" s="73"/>
      <c r="AE95" s="9">
        <f t="shared" ref="AE95:AE107" si="26">COUNTA(D95:AC95)</f>
        <v>0</v>
      </c>
      <c r="AF95" s="9">
        <f t="shared" ref="AF95:AF99" si="27">SUM(D95:AC95)</f>
        <v>0</v>
      </c>
      <c r="AG95" s="89" t="str">
        <f t="shared" ref="AG95:AG107" si="28">IF(ISERROR(AF95/AE95),"NIC",AF95/AE95)</f>
        <v>NIC</v>
      </c>
      <c r="AH95" s="9">
        <f t="shared" ref="AH95:AH107" si="29">CEILING((AE95*$M$111)+(AF95*(LOOKUP(B95,$O$110:$R$110,$O$111:$R$111))),1)+AD95</f>
        <v>0</v>
      </c>
    </row>
    <row r="96" spans="1:34">
      <c r="A96" s="2" t="s">
        <v>40</v>
      </c>
      <c r="B96" s="84" t="str">
        <f>INDEX(Soupiska!$A$3:$B$27,MATCH(A96,Soupiska!$A$3:$A$27,0),2)</f>
        <v>D</v>
      </c>
      <c r="C96" s="206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207"/>
      <c r="AD96" s="208"/>
      <c r="AE96" s="9">
        <f t="shared" si="26"/>
        <v>0</v>
      </c>
      <c r="AF96" s="9">
        <f t="shared" si="27"/>
        <v>0</v>
      </c>
      <c r="AG96" s="89" t="str">
        <f t="shared" si="28"/>
        <v>NIC</v>
      </c>
      <c r="AH96" s="9">
        <f t="shared" si="29"/>
        <v>0</v>
      </c>
    </row>
    <row r="97" spans="1:34">
      <c r="A97" s="2" t="s">
        <v>41</v>
      </c>
      <c r="B97" s="84" t="str">
        <f>INDEX(Soupiska!$A$3:$B$27,MATCH(A97,Soupiska!$A$3:$A$27,0),2)</f>
        <v>D</v>
      </c>
      <c r="C97" s="206"/>
      <c r="D97" s="197">
        <v>0</v>
      </c>
      <c r="E97" s="197">
        <v>3</v>
      </c>
      <c r="F97" s="197">
        <v>2.5</v>
      </c>
      <c r="G97" s="197">
        <v>2</v>
      </c>
      <c r="H97" s="197">
        <v>2</v>
      </c>
      <c r="I97" s="197">
        <v>1</v>
      </c>
      <c r="J97" s="197"/>
      <c r="K97" s="197"/>
      <c r="L97" s="197">
        <v>2.5</v>
      </c>
      <c r="M97" s="197">
        <v>0</v>
      </c>
      <c r="N97" s="197">
        <v>2.5</v>
      </c>
      <c r="O97" s="197">
        <v>0.5</v>
      </c>
      <c r="P97" s="197">
        <v>2</v>
      </c>
      <c r="Q97" s="197">
        <v>2.5</v>
      </c>
      <c r="R97" s="197">
        <v>3</v>
      </c>
      <c r="S97" s="197"/>
      <c r="T97" s="197">
        <v>4.5</v>
      </c>
      <c r="U97" s="197">
        <v>1</v>
      </c>
      <c r="V97" s="197"/>
      <c r="W97" s="197"/>
      <c r="X97" s="197"/>
      <c r="Y97" s="197"/>
      <c r="Z97" s="197">
        <v>0</v>
      </c>
      <c r="AA97" s="197">
        <v>0.5</v>
      </c>
      <c r="AB97" s="197"/>
      <c r="AC97" s="207"/>
      <c r="AD97" s="208"/>
      <c r="AE97" s="9">
        <f t="shared" si="26"/>
        <v>17</v>
      </c>
      <c r="AF97" s="9">
        <f t="shared" si="27"/>
        <v>29.5</v>
      </c>
      <c r="AG97" s="89">
        <f t="shared" si="28"/>
        <v>1.7352941176470589</v>
      </c>
      <c r="AH97" s="9">
        <f t="shared" si="29"/>
        <v>203</v>
      </c>
    </row>
    <row r="98" spans="1:34">
      <c r="A98" s="2" t="s">
        <v>49</v>
      </c>
      <c r="B98" s="84" t="str">
        <f>INDEX(Soupiska!$A$3:$B$27,MATCH(A98,Soupiska!$A$3:$A$27,0),2)</f>
        <v>D</v>
      </c>
      <c r="C98" s="206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207"/>
      <c r="AD98" s="208"/>
      <c r="AE98" s="9">
        <f t="shared" si="26"/>
        <v>0</v>
      </c>
      <c r="AF98" s="9">
        <f t="shared" si="27"/>
        <v>0</v>
      </c>
      <c r="AG98" s="89" t="str">
        <f t="shared" si="28"/>
        <v>NIC</v>
      </c>
      <c r="AH98" s="9">
        <f t="shared" si="29"/>
        <v>0</v>
      </c>
    </row>
    <row r="99" spans="1:34">
      <c r="A99" s="2" t="s">
        <v>50</v>
      </c>
      <c r="B99" s="84" t="str">
        <f>INDEX(Soupiska!$A$3:$B$27,MATCH(A99,Soupiska!$A$3:$A$27,0),2)</f>
        <v>D</v>
      </c>
      <c r="C99" s="206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207"/>
      <c r="AD99" s="208"/>
      <c r="AE99" s="9">
        <f t="shared" si="26"/>
        <v>0</v>
      </c>
      <c r="AF99" s="9">
        <f t="shared" si="27"/>
        <v>0</v>
      </c>
      <c r="AG99" s="89" t="str">
        <f t="shared" si="28"/>
        <v>NIC</v>
      </c>
      <c r="AH99" s="9">
        <f t="shared" si="29"/>
        <v>0</v>
      </c>
    </row>
    <row r="100" spans="1:34">
      <c r="A100" s="2" t="s">
        <v>122</v>
      </c>
      <c r="B100" s="84" t="str">
        <f>INDEX(Soupiska!$A$3:$B$27,MATCH(A100,Soupiska!$A$3:$A$27,0),2)</f>
        <v>D</v>
      </c>
      <c r="C100" s="206"/>
      <c r="D100" s="197"/>
      <c r="E100" s="197"/>
      <c r="F100" s="197"/>
      <c r="G100" s="197">
        <v>0.5</v>
      </c>
      <c r="H100" s="197">
        <v>1</v>
      </c>
      <c r="I100" s="197"/>
      <c r="J100" s="197"/>
      <c r="K100" s="197">
        <v>3.5</v>
      </c>
      <c r="L100" s="197"/>
      <c r="M100" s="197"/>
      <c r="N100" s="197"/>
      <c r="O100" s="197">
        <v>0</v>
      </c>
      <c r="P100" s="197"/>
      <c r="Q100" s="197">
        <v>2.5</v>
      </c>
      <c r="R100" s="197"/>
      <c r="S100" s="197"/>
      <c r="T100" s="197"/>
      <c r="U100" s="197">
        <v>1.5</v>
      </c>
      <c r="V100" s="197"/>
      <c r="W100" s="197"/>
      <c r="X100" s="197"/>
      <c r="Y100" s="197"/>
      <c r="Z100" s="197">
        <v>0</v>
      </c>
      <c r="AA100" s="197">
        <v>0</v>
      </c>
      <c r="AB100" s="197"/>
      <c r="AC100" s="207"/>
      <c r="AD100" s="208"/>
      <c r="AE100" s="9">
        <f t="shared" si="26"/>
        <v>8</v>
      </c>
      <c r="AF100" s="9">
        <f t="shared" ref="AF100" si="30">SUM(D100:AC100)</f>
        <v>9</v>
      </c>
      <c r="AG100" s="89">
        <f t="shared" si="28"/>
        <v>1.125</v>
      </c>
      <c r="AH100" s="9">
        <f t="shared" si="29"/>
        <v>76</v>
      </c>
    </row>
    <row r="101" spans="1:34">
      <c r="A101" s="2" t="s">
        <v>51</v>
      </c>
      <c r="B101" s="84" t="str">
        <f>INDEX(Soupiska!$A$3:$B$27,MATCH(A101,Soupiska!$A$3:$A$27,0),2)</f>
        <v>D</v>
      </c>
      <c r="C101" s="206"/>
      <c r="D101" s="197">
        <v>2</v>
      </c>
      <c r="E101" s="197">
        <v>3</v>
      </c>
      <c r="F101" s="197">
        <v>3.5</v>
      </c>
      <c r="G101" s="197">
        <v>3.5</v>
      </c>
      <c r="H101" s="197">
        <v>3</v>
      </c>
      <c r="I101" s="197">
        <v>3.5</v>
      </c>
      <c r="J101" s="197"/>
      <c r="K101" s="197">
        <v>3.5</v>
      </c>
      <c r="L101" s="197">
        <v>4.5</v>
      </c>
      <c r="M101" s="197"/>
      <c r="N101" s="197">
        <v>2.5</v>
      </c>
      <c r="O101" s="197"/>
      <c r="P101" s="197">
        <v>4.5</v>
      </c>
      <c r="Q101" s="197">
        <v>3.5</v>
      </c>
      <c r="R101" s="197"/>
      <c r="S101" s="197"/>
      <c r="T101" s="197">
        <v>4.5</v>
      </c>
      <c r="U101" s="197"/>
      <c r="V101" s="197"/>
      <c r="W101" s="197"/>
      <c r="X101" s="197"/>
      <c r="Y101" s="197"/>
      <c r="Z101" s="197">
        <v>1</v>
      </c>
      <c r="AA101" s="197">
        <v>0</v>
      </c>
      <c r="AB101" s="197"/>
      <c r="AC101" s="207"/>
      <c r="AD101" s="208"/>
      <c r="AE101" s="9">
        <f t="shared" si="26"/>
        <v>14</v>
      </c>
      <c r="AF101" s="9">
        <f t="shared" ref="AF101:AF107" si="31">SUM(D101:AC101)</f>
        <v>42.5</v>
      </c>
      <c r="AG101" s="89">
        <f t="shared" si="28"/>
        <v>3.0357142857142856</v>
      </c>
      <c r="AH101" s="9">
        <f t="shared" si="29"/>
        <v>240</v>
      </c>
    </row>
    <row r="102" spans="1:34">
      <c r="A102" s="2" t="s">
        <v>52</v>
      </c>
      <c r="B102" s="84" t="str">
        <f>INDEX(Soupiska!$A$3:$B$27,MATCH(A102,Soupiska!$A$3:$A$27,0),2)</f>
        <v>C</v>
      </c>
      <c r="C102" s="206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>
        <v>3</v>
      </c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207"/>
      <c r="AD102" s="208"/>
      <c r="AE102" s="9">
        <f t="shared" si="26"/>
        <v>1</v>
      </c>
      <c r="AF102" s="9">
        <f t="shared" si="31"/>
        <v>3</v>
      </c>
      <c r="AG102" s="89">
        <f t="shared" si="28"/>
        <v>3</v>
      </c>
      <c r="AH102" s="9">
        <f t="shared" si="29"/>
        <v>5</v>
      </c>
    </row>
    <row r="103" spans="1:34">
      <c r="A103" s="2" t="s">
        <v>54</v>
      </c>
      <c r="B103" s="84" t="str">
        <f>INDEX(Soupiska!$A$3:$B$27,MATCH(A103,Soupiska!$A$3:$A$27,0),2)</f>
        <v>D</v>
      </c>
      <c r="C103" s="206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207"/>
      <c r="AD103" s="208"/>
      <c r="AE103" s="9">
        <f t="shared" si="26"/>
        <v>0</v>
      </c>
      <c r="AF103" s="9">
        <f t="shared" si="31"/>
        <v>0</v>
      </c>
      <c r="AG103" s="89" t="str">
        <f t="shared" si="28"/>
        <v>NIC</v>
      </c>
      <c r="AH103" s="9">
        <f t="shared" si="29"/>
        <v>0</v>
      </c>
    </row>
    <row r="104" spans="1:34">
      <c r="A104" s="2" t="s">
        <v>55</v>
      </c>
      <c r="B104" s="84" t="str">
        <f>INDEX(Soupiska!$A$3:$B$27,MATCH(A104,Soupiska!$A$3:$A$27,0),2)</f>
        <v>D</v>
      </c>
      <c r="C104" s="206"/>
      <c r="D104" s="197">
        <v>0</v>
      </c>
      <c r="E104" s="197">
        <v>1</v>
      </c>
      <c r="F104" s="197">
        <v>1.5</v>
      </c>
      <c r="G104" s="197">
        <v>3</v>
      </c>
      <c r="H104" s="197">
        <v>4</v>
      </c>
      <c r="I104" s="197">
        <v>2</v>
      </c>
      <c r="J104" s="197"/>
      <c r="K104" s="197">
        <v>3.5</v>
      </c>
      <c r="L104" s="197">
        <v>2.5</v>
      </c>
      <c r="M104" s="197">
        <v>0</v>
      </c>
      <c r="N104" s="197">
        <v>2.5</v>
      </c>
      <c r="O104" s="197">
        <v>0.5</v>
      </c>
      <c r="P104" s="197">
        <v>3.5</v>
      </c>
      <c r="Q104" s="197">
        <v>1.5</v>
      </c>
      <c r="R104" s="197">
        <v>1.5</v>
      </c>
      <c r="S104" s="197"/>
      <c r="T104" s="197">
        <v>3.5</v>
      </c>
      <c r="U104" s="197">
        <v>1</v>
      </c>
      <c r="V104" s="197"/>
      <c r="W104" s="197"/>
      <c r="X104" s="197"/>
      <c r="Y104" s="197"/>
      <c r="Z104" s="197">
        <v>1</v>
      </c>
      <c r="AA104" s="197">
        <v>0.5</v>
      </c>
      <c r="AB104" s="197"/>
      <c r="AC104" s="207"/>
      <c r="AD104" s="208"/>
      <c r="AE104" s="9">
        <f t="shared" si="26"/>
        <v>18</v>
      </c>
      <c r="AF104" s="9">
        <f t="shared" si="31"/>
        <v>33</v>
      </c>
      <c r="AG104" s="89">
        <f t="shared" si="28"/>
        <v>1.8333333333333333</v>
      </c>
      <c r="AH104" s="9">
        <f t="shared" si="29"/>
        <v>222</v>
      </c>
    </row>
    <row r="105" spans="1:34">
      <c r="A105" s="2" t="s">
        <v>56</v>
      </c>
      <c r="B105" s="84" t="str">
        <f>INDEX(Soupiska!$A$3:$B$27,MATCH(A105,Soupiska!$A$3:$A$27,0),2)</f>
        <v>D</v>
      </c>
      <c r="C105" s="206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207"/>
      <c r="AD105" s="208"/>
      <c r="AE105" s="9">
        <f t="shared" si="26"/>
        <v>0</v>
      </c>
      <c r="AF105" s="9">
        <f t="shared" si="31"/>
        <v>0</v>
      </c>
      <c r="AG105" s="89" t="str">
        <f t="shared" si="28"/>
        <v>NIC</v>
      </c>
      <c r="AH105" s="9">
        <f t="shared" si="29"/>
        <v>0</v>
      </c>
    </row>
    <row r="106" spans="1:34">
      <c r="A106" s="2" t="s">
        <v>58</v>
      </c>
      <c r="B106" s="84" t="str">
        <f>INDEX(Soupiska!$A$3:$B$27,MATCH(A106,Soupiska!$A$3:$A$27,0),2)</f>
        <v>D</v>
      </c>
      <c r="C106" s="206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>
        <v>4</v>
      </c>
      <c r="Q106" s="197"/>
      <c r="R106" s="197">
        <v>3</v>
      </c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207"/>
      <c r="AD106" s="208"/>
      <c r="AE106" s="9">
        <f t="shared" si="26"/>
        <v>2</v>
      </c>
      <c r="AF106" s="9">
        <f t="shared" si="31"/>
        <v>7</v>
      </c>
      <c r="AG106" s="89">
        <f t="shared" si="28"/>
        <v>3.5</v>
      </c>
      <c r="AH106" s="9">
        <f t="shared" si="29"/>
        <v>38</v>
      </c>
    </row>
    <row r="107" spans="1:34">
      <c r="A107" s="2" t="s">
        <v>59</v>
      </c>
      <c r="B107" s="84" t="str">
        <f>INDEX(Soupiska!$A$3:$B$27,MATCH(A107,Soupiska!$A$3:$A$27,0),2)</f>
        <v>D</v>
      </c>
      <c r="C107" s="206"/>
      <c r="D107" s="197">
        <v>0</v>
      </c>
      <c r="E107" s="197">
        <v>3</v>
      </c>
      <c r="F107" s="197">
        <v>1.5</v>
      </c>
      <c r="G107" s="197"/>
      <c r="H107" s="197">
        <v>2</v>
      </c>
      <c r="I107" s="197">
        <v>2.5</v>
      </c>
      <c r="J107" s="197"/>
      <c r="K107" s="197">
        <v>4.5</v>
      </c>
      <c r="L107" s="197">
        <v>4.5</v>
      </c>
      <c r="M107" s="197">
        <v>0</v>
      </c>
      <c r="N107" s="197">
        <v>0.5</v>
      </c>
      <c r="O107" s="197">
        <v>0</v>
      </c>
      <c r="P107" s="197"/>
      <c r="Q107" s="197"/>
      <c r="R107" s="197">
        <v>1.5</v>
      </c>
      <c r="S107" s="197"/>
      <c r="T107" s="197">
        <v>4.5</v>
      </c>
      <c r="U107" s="197">
        <v>1.5</v>
      </c>
      <c r="V107" s="197"/>
      <c r="W107" s="197"/>
      <c r="X107" s="197"/>
      <c r="Y107" s="197"/>
      <c r="Z107" s="197"/>
      <c r="AA107" s="197"/>
      <c r="AB107" s="197"/>
      <c r="AC107" s="207"/>
      <c r="AD107" s="208"/>
      <c r="AE107" s="9">
        <f t="shared" si="26"/>
        <v>13</v>
      </c>
      <c r="AF107" s="9">
        <f t="shared" si="31"/>
        <v>26</v>
      </c>
      <c r="AG107" s="89">
        <f t="shared" si="28"/>
        <v>2</v>
      </c>
      <c r="AH107" s="9">
        <f t="shared" si="29"/>
        <v>169</v>
      </c>
    </row>
    <row r="108" spans="1:34" ht="14.25" customHeight="1" thickBot="1">
      <c r="AH108" s="11">
        <f>SUM(AH95:AH107)</f>
        <v>953</v>
      </c>
    </row>
    <row r="109" spans="1:34">
      <c r="A109" s="316"/>
      <c r="B109" s="317"/>
      <c r="C109" s="202"/>
      <c r="D109" s="244" t="s">
        <v>74</v>
      </c>
      <c r="E109" s="318"/>
      <c r="F109" s="318"/>
      <c r="G109" s="318"/>
      <c r="H109" s="318"/>
      <c r="I109" s="318"/>
      <c r="J109" s="318"/>
      <c r="K109" s="318"/>
      <c r="L109" s="318"/>
      <c r="M109" s="320" t="s">
        <v>73</v>
      </c>
      <c r="N109" s="318"/>
      <c r="O109" s="312" t="s">
        <v>78</v>
      </c>
      <c r="P109" s="247"/>
      <c r="Q109" s="247"/>
      <c r="R109" s="252"/>
      <c r="S109" s="95"/>
      <c r="T109" s="95"/>
    </row>
    <row r="110" spans="1:34" ht="15.75" thickBot="1">
      <c r="A110" s="316"/>
      <c r="B110" s="317"/>
      <c r="C110" s="202"/>
      <c r="D110" s="319"/>
      <c r="E110" s="319"/>
      <c r="F110" s="319"/>
      <c r="G110" s="319"/>
      <c r="H110" s="319"/>
      <c r="I110" s="319"/>
      <c r="J110" s="319"/>
      <c r="K110" s="319"/>
      <c r="L110" s="319"/>
      <c r="M110" s="319"/>
      <c r="N110" s="319"/>
      <c r="O110" s="50" t="s">
        <v>100</v>
      </c>
      <c r="P110" s="75" t="s">
        <v>99</v>
      </c>
      <c r="Q110" s="201" t="s">
        <v>97</v>
      </c>
      <c r="R110" s="51" t="s">
        <v>98</v>
      </c>
      <c r="S110" s="61"/>
      <c r="T110" s="61"/>
    </row>
    <row r="111" spans="1:34">
      <c r="A111" s="321"/>
      <c r="B111" s="322"/>
      <c r="C111" s="203"/>
      <c r="D111" s="323" t="s">
        <v>156</v>
      </c>
      <c r="E111" s="324"/>
      <c r="F111" s="324"/>
      <c r="G111" s="324"/>
      <c r="H111" s="324"/>
      <c r="I111" s="324"/>
      <c r="J111" s="324"/>
      <c r="K111" s="324"/>
      <c r="L111" s="325"/>
      <c r="M111" s="326">
        <v>5</v>
      </c>
      <c r="N111" s="327"/>
      <c r="O111" s="43"/>
      <c r="P111" s="21"/>
      <c r="Q111" s="21"/>
      <c r="R111" s="44">
        <v>4</v>
      </c>
      <c r="S111" s="62"/>
      <c r="T111" s="62"/>
    </row>
  </sheetData>
  <mergeCells count="33">
    <mergeCell ref="A111:B111"/>
    <mergeCell ref="D111:L111"/>
    <mergeCell ref="M111:N111"/>
    <mergeCell ref="A91:B91"/>
    <mergeCell ref="D91:L91"/>
    <mergeCell ref="M91:N91"/>
    <mergeCell ref="A93:AH93"/>
    <mergeCell ref="A109:B110"/>
    <mergeCell ref="D109:L110"/>
    <mergeCell ref="M109:N110"/>
    <mergeCell ref="O109:R109"/>
    <mergeCell ref="O89:R89"/>
    <mergeCell ref="A73:AH73"/>
    <mergeCell ref="A47:B47"/>
    <mergeCell ref="D47:L47"/>
    <mergeCell ref="M47:N47"/>
    <mergeCell ref="A71:B71"/>
    <mergeCell ref="D71:L71"/>
    <mergeCell ref="M71:N71"/>
    <mergeCell ref="A89:B90"/>
    <mergeCell ref="D89:L90"/>
    <mergeCell ref="M89:N90"/>
    <mergeCell ref="A49:AH49"/>
    <mergeCell ref="A69:B70"/>
    <mergeCell ref="D69:L70"/>
    <mergeCell ref="M69:N70"/>
    <mergeCell ref="O69:R69"/>
    <mergeCell ref="A1:AE1"/>
    <mergeCell ref="A30:AH30"/>
    <mergeCell ref="A45:B46"/>
    <mergeCell ref="D45:L46"/>
    <mergeCell ref="M45:N46"/>
    <mergeCell ref="O45:R45"/>
  </mergeCells>
  <dataValidations count="1">
    <dataValidation showInputMessage="1" showErrorMessage="1" promptTitle="Upozornění !!!" sqref="A75:C87 A51:C67 A3:C28 A32:C43 A95:C107"/>
  </dataValidations>
  <pageMargins left="0.7" right="0.7" top="0.78740157499999996" bottom="0.78740157499999996" header="0.3" footer="0.3"/>
  <pageSetup paperSize="9" orientation="portrait" verticalDpi="0" r:id="rId1"/>
  <ignoredErrors>
    <ignoredError sqref="AF59 AF80 AF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J25" sqref="J25"/>
    </sheetView>
  </sheetViews>
  <sheetFormatPr defaultRowHeight="15"/>
  <cols>
    <col min="1" max="1" width="19.42578125" customWidth="1"/>
    <col min="2" max="2" width="4.7109375" customWidth="1"/>
    <col min="3" max="12" width="2.7109375" customWidth="1"/>
    <col min="13" max="13" width="6.7109375" customWidth="1"/>
    <col min="14" max="14" width="5.7109375" customWidth="1"/>
    <col min="15" max="16" width="5.7109375" style="11" customWidth="1"/>
    <col min="17" max="17" width="8.7109375" style="11" customWidth="1"/>
  </cols>
  <sheetData>
    <row r="1" spans="1:17" ht="21.75" thickBot="1">
      <c r="A1" s="263" t="s">
        <v>117</v>
      </c>
      <c r="B1" s="263"/>
      <c r="C1" s="263"/>
      <c r="D1" s="263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7" s="115" customFormat="1" ht="12.75" thickBot="1">
      <c r="A2" s="111" t="s">
        <v>36</v>
      </c>
      <c r="B2" s="112" t="s">
        <v>96</v>
      </c>
      <c r="C2" s="112" t="s">
        <v>115</v>
      </c>
      <c r="D2" s="112" t="s">
        <v>116</v>
      </c>
      <c r="E2" s="113" t="s">
        <v>123</v>
      </c>
      <c r="F2" s="113" t="s">
        <v>1</v>
      </c>
      <c r="G2" s="113" t="s">
        <v>2</v>
      </c>
      <c r="H2" s="113" t="s">
        <v>3</v>
      </c>
      <c r="I2" s="113" t="s">
        <v>112</v>
      </c>
      <c r="J2" s="113" t="s">
        <v>112</v>
      </c>
      <c r="K2" s="114" t="s">
        <v>112</v>
      </c>
      <c r="L2" s="114" t="s">
        <v>8</v>
      </c>
      <c r="M2" s="110" t="s">
        <v>70</v>
      </c>
      <c r="N2" s="116" t="s">
        <v>113</v>
      </c>
      <c r="O2" s="116" t="s">
        <v>109</v>
      </c>
      <c r="P2" s="117" t="s">
        <v>114</v>
      </c>
      <c r="Q2" s="116" t="s">
        <v>61</v>
      </c>
    </row>
    <row r="3" spans="1:17">
      <c r="A3" s="78" t="s">
        <v>38</v>
      </c>
      <c r="B3" s="84" t="str">
        <f>INDEX(Soupiska!$A$3:$B$27,MATCH(A3,Soupiska!$A$3:$A$27,0),2)</f>
        <v>D</v>
      </c>
      <c r="C3" s="92"/>
      <c r="D3" s="25"/>
      <c r="E3" s="21"/>
      <c r="F3" s="21"/>
      <c r="G3" s="21"/>
      <c r="H3" s="21"/>
      <c r="I3" s="21"/>
      <c r="J3" s="21"/>
      <c r="K3" s="23"/>
      <c r="L3" s="23"/>
      <c r="M3" s="42"/>
      <c r="N3" s="9">
        <f t="shared" ref="N3:N27" si="0">COUNTA(C3:L3)</f>
        <v>0</v>
      </c>
      <c r="O3" s="9">
        <f t="shared" ref="O3:O27" si="1">SUM(C3:L3)</f>
        <v>0</v>
      </c>
      <c r="P3" s="89" t="str">
        <f t="shared" ref="P3:P27" si="2">IF(ISERROR(O3/N3),"NIC",O3/N3)</f>
        <v>NIC</v>
      </c>
      <c r="Q3" s="9">
        <f t="shared" ref="Q3:Q27" si="3">CEILING(SUM((N3*$C$31)+(O3*(LOOKUP(B3,$D$30:$G$30,$D$31:$G$31)))),1)</f>
        <v>0</v>
      </c>
    </row>
    <row r="4" spans="1:17">
      <c r="A4" s="78" t="s">
        <v>124</v>
      </c>
      <c r="B4" s="84" t="str">
        <f>INDEX(Soupiska!$A$3:$B$27,MATCH(A4,Soupiska!$A$3:$A$27,0),2)</f>
        <v>B</v>
      </c>
      <c r="C4" s="92"/>
      <c r="D4" s="25"/>
      <c r="E4" s="21"/>
      <c r="F4" s="21"/>
      <c r="G4" s="21"/>
      <c r="H4" s="21"/>
      <c r="I4" s="21"/>
      <c r="J4" s="21"/>
      <c r="K4" s="23"/>
      <c r="L4" s="23"/>
      <c r="M4" s="42"/>
      <c r="N4" s="9">
        <f t="shared" si="0"/>
        <v>0</v>
      </c>
      <c r="O4" s="9">
        <f t="shared" si="1"/>
        <v>0</v>
      </c>
      <c r="P4" s="89" t="str">
        <f t="shared" si="2"/>
        <v>NIC</v>
      </c>
      <c r="Q4" s="9">
        <f t="shared" si="3"/>
        <v>0</v>
      </c>
    </row>
    <row r="5" spans="1:17">
      <c r="A5" s="78" t="s">
        <v>39</v>
      </c>
      <c r="B5" s="84" t="str">
        <f>INDEX(Soupiska!$A$3:$B$27,MATCH(A5,Soupiska!$A$3:$A$27,0),2)</f>
        <v>B</v>
      </c>
      <c r="C5" s="92"/>
      <c r="D5" s="25"/>
      <c r="E5" s="21"/>
      <c r="F5" s="21">
        <v>3</v>
      </c>
      <c r="G5" s="21"/>
      <c r="H5" s="21"/>
      <c r="I5" s="21"/>
      <c r="J5" s="21"/>
      <c r="K5" s="23"/>
      <c r="L5" s="23"/>
      <c r="M5" s="42"/>
      <c r="N5" s="9">
        <f t="shared" si="0"/>
        <v>1</v>
      </c>
      <c r="O5" s="9">
        <f t="shared" si="1"/>
        <v>3</v>
      </c>
      <c r="P5" s="89">
        <f t="shared" si="2"/>
        <v>3</v>
      </c>
      <c r="Q5" s="9">
        <f t="shared" si="3"/>
        <v>16</v>
      </c>
    </row>
    <row r="6" spans="1:17">
      <c r="A6" s="78" t="s">
        <v>40</v>
      </c>
      <c r="B6" s="84" t="str">
        <f>INDEX(Soupiska!$A$3:$B$27,MATCH(A6,Soupiska!$A$3:$A$27,0),2)</f>
        <v>D</v>
      </c>
      <c r="C6" s="92"/>
      <c r="D6" s="25"/>
      <c r="E6" s="21"/>
      <c r="F6" s="21"/>
      <c r="G6" s="21"/>
      <c r="H6" s="21"/>
      <c r="I6" s="21"/>
      <c r="J6" s="21"/>
      <c r="K6" s="23"/>
      <c r="L6" s="23"/>
      <c r="M6" s="42"/>
      <c r="N6" s="9">
        <f t="shared" si="0"/>
        <v>0</v>
      </c>
      <c r="O6" s="9">
        <f t="shared" si="1"/>
        <v>0</v>
      </c>
      <c r="P6" s="89" t="str">
        <f t="shared" si="2"/>
        <v>NIC</v>
      </c>
      <c r="Q6" s="9">
        <f t="shared" si="3"/>
        <v>0</v>
      </c>
    </row>
    <row r="7" spans="1:17">
      <c r="A7" s="78" t="s">
        <v>41</v>
      </c>
      <c r="B7" s="84" t="str">
        <f>INDEX(Soupiska!$A$3:$B$27,MATCH(A7,Soupiska!$A$3:$A$27,0),2)</f>
        <v>D</v>
      </c>
      <c r="C7" s="92"/>
      <c r="D7" s="25"/>
      <c r="E7" s="21"/>
      <c r="F7" s="21"/>
      <c r="G7" s="21"/>
      <c r="H7" s="21"/>
      <c r="I7" s="21"/>
      <c r="J7" s="21"/>
      <c r="K7" s="23"/>
      <c r="L7" s="23"/>
      <c r="M7" s="42"/>
      <c r="N7" s="9">
        <f t="shared" si="0"/>
        <v>0</v>
      </c>
      <c r="O7" s="9">
        <f t="shared" si="1"/>
        <v>0</v>
      </c>
      <c r="P7" s="89" t="str">
        <f t="shared" si="2"/>
        <v>NIC</v>
      </c>
      <c r="Q7" s="9">
        <f t="shared" si="3"/>
        <v>0</v>
      </c>
    </row>
    <row r="8" spans="1:17">
      <c r="A8" s="78" t="s">
        <v>42</v>
      </c>
      <c r="B8" s="84" t="str">
        <f>INDEX(Soupiska!$A$3:$B$27,MATCH(A8,Soupiska!$A$3:$A$27,0),2)</f>
        <v>A</v>
      </c>
      <c r="C8" s="92">
        <v>1</v>
      </c>
      <c r="D8" s="25"/>
      <c r="E8" s="21"/>
      <c r="F8" s="21"/>
      <c r="G8" s="21">
        <v>2.5</v>
      </c>
      <c r="H8" s="21">
        <v>2.5</v>
      </c>
      <c r="I8" s="21">
        <v>2.5</v>
      </c>
      <c r="J8" s="21">
        <v>2.5</v>
      </c>
      <c r="K8" s="23"/>
      <c r="L8" s="23"/>
      <c r="M8" s="42"/>
      <c r="N8" s="9">
        <f t="shared" si="0"/>
        <v>5</v>
      </c>
      <c r="O8" s="9">
        <f t="shared" si="1"/>
        <v>11</v>
      </c>
      <c r="P8" s="89">
        <f t="shared" si="2"/>
        <v>2.2000000000000002</v>
      </c>
      <c r="Q8" s="9">
        <f t="shared" si="3"/>
        <v>53</v>
      </c>
    </row>
    <row r="9" spans="1:17">
      <c r="A9" s="78" t="s">
        <v>43</v>
      </c>
      <c r="B9" s="84" t="str">
        <f>INDEX(Soupiska!$A$3:$B$27,MATCH(A9,Soupiska!$A$3:$A$27,0),2)</f>
        <v>B</v>
      </c>
      <c r="C9" s="92"/>
      <c r="D9" s="25"/>
      <c r="E9" s="21"/>
      <c r="F9" s="21">
        <v>3</v>
      </c>
      <c r="G9" s="21">
        <v>0</v>
      </c>
      <c r="H9" s="21"/>
      <c r="I9" s="21"/>
      <c r="J9" s="21"/>
      <c r="K9" s="23"/>
      <c r="L9" s="23"/>
      <c r="M9" s="42"/>
      <c r="N9" s="9">
        <f t="shared" si="0"/>
        <v>2</v>
      </c>
      <c r="O9" s="9">
        <f t="shared" si="1"/>
        <v>3</v>
      </c>
      <c r="P9" s="89">
        <f t="shared" si="2"/>
        <v>1.5</v>
      </c>
      <c r="Q9" s="9">
        <f t="shared" si="3"/>
        <v>20</v>
      </c>
    </row>
    <row r="10" spans="1:17">
      <c r="A10" s="78" t="s">
        <v>44</v>
      </c>
      <c r="B10" s="84" t="str">
        <f>INDEX(Soupiska!$A$3:$B$27,MATCH(A10,Soupiska!$A$3:$A$27,0),2)</f>
        <v>C</v>
      </c>
      <c r="C10" s="92"/>
      <c r="D10" s="25"/>
      <c r="E10" s="21"/>
      <c r="F10" s="21"/>
      <c r="G10" s="21"/>
      <c r="H10" s="21"/>
      <c r="I10" s="21"/>
      <c r="J10" s="21"/>
      <c r="K10" s="23"/>
      <c r="L10" s="23"/>
      <c r="M10" s="42"/>
      <c r="N10" s="9">
        <f t="shared" si="0"/>
        <v>0</v>
      </c>
      <c r="O10" s="9">
        <f t="shared" si="1"/>
        <v>0</v>
      </c>
      <c r="P10" s="89" t="str">
        <f t="shared" si="2"/>
        <v>NIC</v>
      </c>
      <c r="Q10" s="9">
        <f t="shared" si="3"/>
        <v>0</v>
      </c>
    </row>
    <row r="11" spans="1:17">
      <c r="A11" s="78" t="s">
        <v>45</v>
      </c>
      <c r="B11" s="84" t="str">
        <f>INDEX(Soupiska!$A$3:$B$27,MATCH(A11,Soupiska!$A$3:$A$27,0),2)</f>
        <v>B</v>
      </c>
      <c r="C11" s="92"/>
      <c r="D11" s="25"/>
      <c r="E11" s="21"/>
      <c r="F11" s="21">
        <v>2.5</v>
      </c>
      <c r="G11" s="21">
        <v>1</v>
      </c>
      <c r="H11" s="21"/>
      <c r="I11" s="21"/>
      <c r="J11" s="21"/>
      <c r="K11" s="23"/>
      <c r="L11" s="23"/>
      <c r="M11" s="42"/>
      <c r="N11" s="9">
        <f t="shared" si="0"/>
        <v>2</v>
      </c>
      <c r="O11" s="9">
        <f t="shared" si="1"/>
        <v>3.5</v>
      </c>
      <c r="P11" s="89">
        <f t="shared" si="2"/>
        <v>1.75</v>
      </c>
      <c r="Q11" s="9">
        <f t="shared" si="3"/>
        <v>22</v>
      </c>
    </row>
    <row r="12" spans="1:17">
      <c r="A12" s="78" t="s">
        <v>46</v>
      </c>
      <c r="B12" s="84" t="str">
        <f>INDEX(Soupiska!$A$3:$B$27,MATCH(A12,Soupiska!$A$3:$A$27,0),2)</f>
        <v>C</v>
      </c>
      <c r="C12" s="92"/>
      <c r="D12" s="25"/>
      <c r="E12" s="21"/>
      <c r="F12" s="21"/>
      <c r="G12" s="21"/>
      <c r="H12" s="21"/>
      <c r="I12" s="21"/>
      <c r="J12" s="21"/>
      <c r="K12" s="23"/>
      <c r="L12" s="23"/>
      <c r="M12" s="42"/>
      <c r="N12" s="9">
        <f t="shared" si="0"/>
        <v>0</v>
      </c>
      <c r="O12" s="9">
        <f t="shared" si="1"/>
        <v>0</v>
      </c>
      <c r="P12" s="89" t="str">
        <f t="shared" si="2"/>
        <v>NIC</v>
      </c>
      <c r="Q12" s="9">
        <f t="shared" si="3"/>
        <v>0</v>
      </c>
    </row>
    <row r="13" spans="1:17">
      <c r="A13" s="78" t="s">
        <v>48</v>
      </c>
      <c r="B13" s="84" t="str">
        <f>INDEX(Soupiska!$A$3:$B$27,MATCH(A13,Soupiska!$A$3:$A$27,0),2)</f>
        <v>A</v>
      </c>
      <c r="C13" s="92"/>
      <c r="D13" s="25"/>
      <c r="E13" s="21"/>
      <c r="F13" s="21"/>
      <c r="G13" s="21"/>
      <c r="H13" s="21"/>
      <c r="I13" s="21"/>
      <c r="J13" s="21"/>
      <c r="K13" s="23"/>
      <c r="L13" s="23"/>
      <c r="M13" s="42"/>
      <c r="N13" s="9">
        <f t="shared" si="0"/>
        <v>0</v>
      </c>
      <c r="O13" s="9">
        <f t="shared" si="1"/>
        <v>0</v>
      </c>
      <c r="P13" s="89" t="str">
        <f t="shared" si="2"/>
        <v>NIC</v>
      </c>
      <c r="Q13" s="9">
        <f t="shared" si="3"/>
        <v>0</v>
      </c>
    </row>
    <row r="14" spans="1:17">
      <c r="A14" s="78" t="s">
        <v>49</v>
      </c>
      <c r="B14" s="84" t="str">
        <f>INDEX(Soupiska!$A$3:$B$27,MATCH(A14,Soupiska!$A$3:$A$27,0),2)</f>
        <v>D</v>
      </c>
      <c r="C14" s="92"/>
      <c r="D14" s="25"/>
      <c r="E14" s="21"/>
      <c r="F14" s="21"/>
      <c r="G14" s="21"/>
      <c r="H14" s="21"/>
      <c r="I14" s="21"/>
      <c r="J14" s="21"/>
      <c r="K14" s="23"/>
      <c r="L14" s="23"/>
      <c r="M14" s="42"/>
      <c r="N14" s="9">
        <f t="shared" si="0"/>
        <v>0</v>
      </c>
      <c r="O14" s="9">
        <f t="shared" si="1"/>
        <v>0</v>
      </c>
      <c r="P14" s="89" t="str">
        <f t="shared" si="2"/>
        <v>NIC</v>
      </c>
      <c r="Q14" s="9">
        <f t="shared" si="3"/>
        <v>0</v>
      </c>
    </row>
    <row r="15" spans="1:17">
      <c r="A15" s="78" t="s">
        <v>159</v>
      </c>
      <c r="B15" s="84" t="str">
        <f>INDEX(Soupiska!$A$3:$B$27,MATCH(A15,Soupiska!$A$3:$A$27,0),2)</f>
        <v>C</v>
      </c>
      <c r="C15" s="92"/>
      <c r="D15" s="25"/>
      <c r="E15" s="21"/>
      <c r="F15" s="21">
        <v>2.5</v>
      </c>
      <c r="G15" s="21">
        <v>0</v>
      </c>
      <c r="H15" s="21"/>
      <c r="I15" s="21"/>
      <c r="J15" s="21"/>
      <c r="K15" s="23"/>
      <c r="L15" s="23"/>
      <c r="M15" s="42"/>
      <c r="N15" s="9">
        <f t="shared" ref="N15" si="4">COUNTA(C15:L15)</f>
        <v>2</v>
      </c>
      <c r="O15" s="9">
        <f t="shared" ref="O15" si="5">SUM(C15:L15)</f>
        <v>2.5</v>
      </c>
      <c r="P15" s="89">
        <f t="shared" ref="P15" si="6">IF(ISERROR(O15/N15),"NIC",O15/N15)</f>
        <v>1.25</v>
      </c>
      <c r="Q15" s="9">
        <f t="shared" si="3"/>
        <v>21</v>
      </c>
    </row>
    <row r="16" spans="1:17">
      <c r="A16" s="78" t="s">
        <v>50</v>
      </c>
      <c r="B16" s="84" t="str">
        <f>INDEX(Soupiska!$A$3:$B$27,MATCH(A16,Soupiska!$A$3:$A$27,0),2)</f>
        <v>D</v>
      </c>
      <c r="C16" s="92"/>
      <c r="D16" s="25"/>
      <c r="E16" s="21"/>
      <c r="F16" s="21"/>
      <c r="G16" s="21"/>
      <c r="H16" s="21"/>
      <c r="I16" s="21"/>
      <c r="J16" s="21"/>
      <c r="K16" s="23"/>
      <c r="L16" s="23"/>
      <c r="M16" s="42"/>
      <c r="N16" s="9">
        <f t="shared" si="0"/>
        <v>0</v>
      </c>
      <c r="O16" s="9">
        <f t="shared" si="1"/>
        <v>0</v>
      </c>
      <c r="P16" s="89" t="str">
        <f t="shared" si="2"/>
        <v>NIC</v>
      </c>
      <c r="Q16" s="9">
        <f t="shared" si="3"/>
        <v>0</v>
      </c>
    </row>
    <row r="17" spans="1:17">
      <c r="A17" s="78" t="s">
        <v>122</v>
      </c>
      <c r="B17" s="84" t="str">
        <f>INDEX(Soupiska!$A$3:$B$27,MATCH(A17,Soupiska!$A$3:$A$27,0),2)</f>
        <v>D</v>
      </c>
      <c r="C17" s="92"/>
      <c r="D17" s="25"/>
      <c r="E17" s="21"/>
      <c r="F17" s="21"/>
      <c r="G17" s="21"/>
      <c r="H17" s="21"/>
      <c r="I17" s="21"/>
      <c r="J17" s="21"/>
      <c r="K17" s="23"/>
      <c r="L17" s="23"/>
      <c r="M17" s="42"/>
      <c r="N17" s="9">
        <f t="shared" si="0"/>
        <v>0</v>
      </c>
      <c r="O17" s="9">
        <f t="shared" si="1"/>
        <v>0</v>
      </c>
      <c r="P17" s="89" t="str">
        <f t="shared" si="2"/>
        <v>NIC</v>
      </c>
      <c r="Q17" s="9">
        <f t="shared" si="3"/>
        <v>0</v>
      </c>
    </row>
    <row r="18" spans="1:17">
      <c r="A18" s="78" t="s">
        <v>51</v>
      </c>
      <c r="B18" s="84" t="str">
        <f>INDEX(Soupiska!$A$3:$B$27,MATCH(A18,Soupiska!$A$3:$A$27,0),2)</f>
        <v>D</v>
      </c>
      <c r="C18" s="92"/>
      <c r="D18" s="25"/>
      <c r="E18" s="21"/>
      <c r="F18" s="21"/>
      <c r="G18" s="21"/>
      <c r="H18" s="21"/>
      <c r="I18" s="21"/>
      <c r="J18" s="21"/>
      <c r="K18" s="23"/>
      <c r="L18" s="23"/>
      <c r="M18" s="42"/>
      <c r="N18" s="9">
        <f t="shared" si="0"/>
        <v>0</v>
      </c>
      <c r="O18" s="9">
        <f t="shared" si="1"/>
        <v>0</v>
      </c>
      <c r="P18" s="89" t="str">
        <f t="shared" si="2"/>
        <v>NIC</v>
      </c>
      <c r="Q18" s="9">
        <f t="shared" si="3"/>
        <v>0</v>
      </c>
    </row>
    <row r="19" spans="1:17">
      <c r="A19" s="78" t="s">
        <v>52</v>
      </c>
      <c r="B19" s="84" t="str">
        <f>INDEX(Soupiska!$A$3:$B$27,MATCH(A19,Soupiska!$A$3:$A$27,0),2)</f>
        <v>C</v>
      </c>
      <c r="C19" s="92"/>
      <c r="D19" s="25"/>
      <c r="E19" s="21"/>
      <c r="F19" s="21"/>
      <c r="G19" s="21"/>
      <c r="H19" s="21"/>
      <c r="I19" s="21"/>
      <c r="J19" s="21"/>
      <c r="K19" s="23"/>
      <c r="L19" s="23"/>
      <c r="M19" s="42"/>
      <c r="N19" s="9">
        <f t="shared" si="0"/>
        <v>0</v>
      </c>
      <c r="O19" s="9">
        <f t="shared" si="1"/>
        <v>0</v>
      </c>
      <c r="P19" s="89" t="str">
        <f t="shared" si="2"/>
        <v>NIC</v>
      </c>
      <c r="Q19" s="9">
        <f t="shared" si="3"/>
        <v>0</v>
      </c>
    </row>
    <row r="20" spans="1:17">
      <c r="A20" s="78" t="s">
        <v>53</v>
      </c>
      <c r="B20" s="84" t="str">
        <f>INDEX(Soupiska!$A$3:$B$27,MATCH(A20,Soupiska!$A$3:$A$27,0),2)</f>
        <v>A</v>
      </c>
      <c r="C20" s="92">
        <v>1</v>
      </c>
      <c r="D20" s="25"/>
      <c r="E20" s="21"/>
      <c r="F20" s="21"/>
      <c r="G20" s="21"/>
      <c r="H20" s="21">
        <v>2.5</v>
      </c>
      <c r="I20" s="21">
        <v>2.5</v>
      </c>
      <c r="J20" s="21">
        <v>2.5</v>
      </c>
      <c r="K20" s="23"/>
      <c r="L20" s="23"/>
      <c r="M20" s="42"/>
      <c r="N20" s="9">
        <f t="shared" si="0"/>
        <v>4</v>
      </c>
      <c r="O20" s="9">
        <f t="shared" si="1"/>
        <v>8.5</v>
      </c>
      <c r="P20" s="89">
        <f t="shared" si="2"/>
        <v>2.125</v>
      </c>
      <c r="Q20" s="9">
        <f t="shared" si="3"/>
        <v>42</v>
      </c>
    </row>
    <row r="21" spans="1:17">
      <c r="A21" s="78" t="s">
        <v>54</v>
      </c>
      <c r="B21" s="84" t="str">
        <f>INDEX(Soupiska!$A$3:$B$27,MATCH(A21,Soupiska!$A$3:$A$27,0),2)</f>
        <v>D</v>
      </c>
      <c r="C21" s="92"/>
      <c r="D21" s="25"/>
      <c r="E21" s="21"/>
      <c r="F21" s="21"/>
      <c r="G21" s="21"/>
      <c r="H21" s="21"/>
      <c r="I21" s="21"/>
      <c r="J21" s="21"/>
      <c r="K21" s="23"/>
      <c r="L21" s="23"/>
      <c r="M21" s="42"/>
      <c r="N21" s="9">
        <f t="shared" si="0"/>
        <v>0</v>
      </c>
      <c r="O21" s="9">
        <f t="shared" si="1"/>
        <v>0</v>
      </c>
      <c r="P21" s="89" t="str">
        <f t="shared" si="2"/>
        <v>NIC</v>
      </c>
      <c r="Q21" s="9">
        <f t="shared" si="3"/>
        <v>0</v>
      </c>
    </row>
    <row r="22" spans="1:17">
      <c r="A22" s="78" t="s">
        <v>55</v>
      </c>
      <c r="B22" s="84" t="str">
        <f>INDEX(Soupiska!$A$3:$B$27,MATCH(A22,Soupiska!$A$3:$A$27,0),2)</f>
        <v>D</v>
      </c>
      <c r="C22" s="92"/>
      <c r="D22" s="25"/>
      <c r="E22" s="21"/>
      <c r="F22" s="21"/>
      <c r="G22" s="21"/>
      <c r="H22" s="21"/>
      <c r="I22" s="21"/>
      <c r="J22" s="21"/>
      <c r="K22" s="23"/>
      <c r="L22" s="23"/>
      <c r="M22" s="42"/>
      <c r="N22" s="9">
        <f t="shared" si="0"/>
        <v>0</v>
      </c>
      <c r="O22" s="9">
        <f t="shared" si="1"/>
        <v>0</v>
      </c>
      <c r="P22" s="89" t="str">
        <f t="shared" si="2"/>
        <v>NIC</v>
      </c>
      <c r="Q22" s="9">
        <f t="shared" si="3"/>
        <v>0</v>
      </c>
    </row>
    <row r="23" spans="1:17">
      <c r="A23" s="78" t="s">
        <v>56</v>
      </c>
      <c r="B23" s="84" t="str">
        <f>INDEX(Soupiska!$A$3:$B$27,MATCH(A23,Soupiska!$A$3:$A$27,0),2)</f>
        <v>D</v>
      </c>
      <c r="C23" s="92"/>
      <c r="D23" s="25"/>
      <c r="E23" s="21"/>
      <c r="F23" s="21"/>
      <c r="G23" s="21"/>
      <c r="H23" s="21"/>
      <c r="I23" s="21"/>
      <c r="J23" s="21"/>
      <c r="K23" s="23"/>
      <c r="L23" s="23"/>
      <c r="M23" s="42"/>
      <c r="N23" s="9">
        <f t="shared" si="0"/>
        <v>0</v>
      </c>
      <c r="O23" s="9">
        <f t="shared" si="1"/>
        <v>0</v>
      </c>
      <c r="P23" s="89" t="str">
        <f t="shared" si="2"/>
        <v>NIC</v>
      </c>
      <c r="Q23" s="9">
        <f t="shared" si="3"/>
        <v>0</v>
      </c>
    </row>
    <row r="24" spans="1:17">
      <c r="A24" s="78" t="s">
        <v>95</v>
      </c>
      <c r="B24" s="84" t="str">
        <f>INDEX(Soupiska!$A$3:$B$27,MATCH(A24,Soupiska!$A$3:$A$27,0),2)</f>
        <v>B</v>
      </c>
      <c r="C24" s="92"/>
      <c r="D24" s="25"/>
      <c r="E24" s="21"/>
      <c r="F24" s="21">
        <v>2.5</v>
      </c>
      <c r="G24" s="21">
        <v>2.5</v>
      </c>
      <c r="H24" s="21">
        <v>1</v>
      </c>
      <c r="I24" s="21">
        <v>1</v>
      </c>
      <c r="J24" s="21">
        <v>1</v>
      </c>
      <c r="K24" s="23"/>
      <c r="L24" s="23"/>
      <c r="M24" s="42"/>
      <c r="N24" s="9">
        <f t="shared" si="0"/>
        <v>5</v>
      </c>
      <c r="O24" s="9">
        <f t="shared" si="1"/>
        <v>8</v>
      </c>
      <c r="P24" s="89">
        <f t="shared" si="2"/>
        <v>1.6</v>
      </c>
      <c r="Q24" s="9">
        <f t="shared" si="3"/>
        <v>52</v>
      </c>
    </row>
    <row r="25" spans="1:17">
      <c r="A25" s="78" t="s">
        <v>57</v>
      </c>
      <c r="B25" s="84" t="str">
        <f>INDEX(Soupiska!$A$3:$B$27,MATCH(A25,Soupiska!$A$3:$A$27,0),2)</f>
        <v>A</v>
      </c>
      <c r="C25" s="92">
        <v>0</v>
      </c>
      <c r="D25" s="25"/>
      <c r="E25" s="21"/>
      <c r="F25" s="21">
        <v>3.5</v>
      </c>
      <c r="G25" s="21">
        <v>2</v>
      </c>
      <c r="H25" s="21"/>
      <c r="I25" s="21"/>
      <c r="J25" s="21"/>
      <c r="K25" s="23"/>
      <c r="L25" s="23"/>
      <c r="M25" s="42"/>
      <c r="N25" s="9">
        <f t="shared" si="0"/>
        <v>3</v>
      </c>
      <c r="O25" s="9">
        <f t="shared" si="1"/>
        <v>5.5</v>
      </c>
      <c r="P25" s="89">
        <f t="shared" si="2"/>
        <v>1.8333333333333333</v>
      </c>
      <c r="Q25" s="9">
        <f t="shared" si="3"/>
        <v>29</v>
      </c>
    </row>
    <row r="26" spans="1:17">
      <c r="A26" s="78" t="s">
        <v>58</v>
      </c>
      <c r="B26" s="84" t="str">
        <f>INDEX(Soupiska!$A$3:$B$27,MATCH(A26,Soupiska!$A$3:$A$27,0),2)</f>
        <v>D</v>
      </c>
      <c r="C26" s="92"/>
      <c r="D26" s="25"/>
      <c r="E26" s="21"/>
      <c r="F26" s="21"/>
      <c r="G26" s="21"/>
      <c r="H26" s="21"/>
      <c r="I26" s="21"/>
      <c r="J26" s="21"/>
      <c r="K26" s="23"/>
      <c r="L26" s="23"/>
      <c r="M26" s="42"/>
      <c r="N26" s="9">
        <f t="shared" si="0"/>
        <v>0</v>
      </c>
      <c r="O26" s="9">
        <f t="shared" si="1"/>
        <v>0</v>
      </c>
      <c r="P26" s="89" t="str">
        <f t="shared" si="2"/>
        <v>NIC</v>
      </c>
      <c r="Q26" s="9">
        <f t="shared" si="3"/>
        <v>0</v>
      </c>
    </row>
    <row r="27" spans="1:17">
      <c r="A27" s="78" t="s">
        <v>59</v>
      </c>
      <c r="B27" s="84" t="str">
        <f>INDEX(Soupiska!$A$3:$B$27,MATCH(A27,Soupiska!$A$3:$A$27,0),2)</f>
        <v>D</v>
      </c>
      <c r="C27" s="92"/>
      <c r="D27" s="25"/>
      <c r="E27" s="21"/>
      <c r="F27" s="21"/>
      <c r="G27" s="21"/>
      <c r="H27" s="21"/>
      <c r="I27" s="21"/>
      <c r="J27" s="21"/>
      <c r="K27" s="23"/>
      <c r="L27" s="23"/>
      <c r="M27" s="42"/>
      <c r="N27" s="9">
        <f t="shared" si="0"/>
        <v>0</v>
      </c>
      <c r="O27" s="9">
        <f t="shared" si="1"/>
        <v>0</v>
      </c>
      <c r="P27" s="89" t="str">
        <f t="shared" si="2"/>
        <v>NIC</v>
      </c>
      <c r="Q27" s="9">
        <f t="shared" si="3"/>
        <v>0</v>
      </c>
    </row>
    <row r="28" spans="1:17" ht="15.75" thickBot="1">
      <c r="B28" s="63"/>
      <c r="C28" s="63"/>
      <c r="D28" s="63"/>
    </row>
    <row r="29" spans="1:17">
      <c r="A29" s="306" t="s">
        <v>74</v>
      </c>
      <c r="B29" s="330"/>
      <c r="C29" s="304" t="s">
        <v>107</v>
      </c>
      <c r="D29" s="246" t="s">
        <v>78</v>
      </c>
      <c r="E29" s="247"/>
      <c r="F29" s="247"/>
      <c r="G29" s="248"/>
    </row>
    <row r="30" spans="1:17" ht="15.75" thickBot="1">
      <c r="A30" s="331"/>
      <c r="B30" s="329"/>
      <c r="C30" s="305"/>
      <c r="D30" s="50" t="s">
        <v>100</v>
      </c>
      <c r="E30" s="75" t="s">
        <v>99</v>
      </c>
      <c r="F30" s="60" t="s">
        <v>97</v>
      </c>
      <c r="G30" s="51" t="s">
        <v>98</v>
      </c>
    </row>
    <row r="31" spans="1:17" ht="15.75" thickBot="1">
      <c r="A31" s="328" t="s">
        <v>86</v>
      </c>
      <c r="B31" s="329"/>
      <c r="C31" s="46">
        <v>4</v>
      </c>
      <c r="D31" s="47">
        <v>3</v>
      </c>
      <c r="E31" s="22">
        <v>4</v>
      </c>
      <c r="F31" s="22">
        <v>5</v>
      </c>
      <c r="G31" s="48">
        <v>6</v>
      </c>
    </row>
  </sheetData>
  <mergeCells count="5">
    <mergeCell ref="A31:B31"/>
    <mergeCell ref="A1:Q1"/>
    <mergeCell ref="C29:C30"/>
    <mergeCell ref="D29:G29"/>
    <mergeCell ref="A29:B30"/>
  </mergeCells>
  <dataValidations count="1">
    <dataValidation showInputMessage="1" showErrorMessage="1" promptTitle="Upozornění !!!" sqref="A3:D27"/>
  </dataValidation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N27" sqref="N27"/>
    </sheetView>
  </sheetViews>
  <sheetFormatPr defaultRowHeight="15"/>
  <cols>
    <col min="1" max="1" width="19.42578125" customWidth="1"/>
    <col min="2" max="2" width="4.7109375" customWidth="1"/>
    <col min="3" max="17" width="3.7109375" customWidth="1"/>
    <col min="18" max="18" width="8.7109375" style="11" customWidth="1"/>
  </cols>
  <sheetData>
    <row r="1" spans="1:18" ht="21.75" thickBot="1">
      <c r="A1" s="263" t="s">
        <v>127</v>
      </c>
      <c r="B1" s="263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8" ht="15.75" thickBot="1">
      <c r="A2" s="4" t="s">
        <v>36</v>
      </c>
      <c r="B2" s="80" t="s">
        <v>96</v>
      </c>
      <c r="C2" s="5">
        <v>9.11</v>
      </c>
      <c r="D2" s="5" t="s">
        <v>140</v>
      </c>
      <c r="E2" s="5">
        <v>11</v>
      </c>
      <c r="F2" s="5" t="s">
        <v>141</v>
      </c>
      <c r="G2" s="5">
        <v>12</v>
      </c>
      <c r="H2" s="5" t="s">
        <v>142</v>
      </c>
      <c r="I2" s="5">
        <v>1</v>
      </c>
      <c r="J2" s="5" t="s">
        <v>143</v>
      </c>
      <c r="K2" s="5">
        <v>2</v>
      </c>
      <c r="L2" s="5" t="s">
        <v>144</v>
      </c>
      <c r="M2" s="5">
        <v>3</v>
      </c>
      <c r="N2" s="5" t="s">
        <v>145</v>
      </c>
      <c r="O2" s="5">
        <v>4</v>
      </c>
      <c r="P2" s="5" t="s">
        <v>146</v>
      </c>
      <c r="Q2" s="5" t="s">
        <v>147</v>
      </c>
      <c r="R2" s="7" t="s">
        <v>61</v>
      </c>
    </row>
    <row r="3" spans="1:18">
      <c r="A3" s="2" t="s">
        <v>38</v>
      </c>
      <c r="B3" s="84" t="str">
        <f>INDEX(Soupiska!$A$3:$B$27,MATCH(A3,Soupiska!$A$3:$A$27,0),2)</f>
        <v>D</v>
      </c>
      <c r="C3" s="186"/>
      <c r="D3" s="185">
        <f t="shared" ref="D3:D28" si="0">IF(ISERROR(HLOOKUP(C3,$B$30:$G$31,2,1)),0,HLOOKUP(C3,$B$30:$G$31,2,1))</f>
        <v>0</v>
      </c>
      <c r="E3" s="186"/>
      <c r="F3" s="185">
        <f t="shared" ref="F3:F28" si="1">IF(ISERROR(HLOOKUP(E3,$B$30:$G$31,2,1)),0,HLOOKUP(E3,$B$30:$G$31,2,1))</f>
        <v>0</v>
      </c>
      <c r="G3" s="186"/>
      <c r="H3" s="185">
        <f t="shared" ref="H3:H28" si="2">IF(ISERROR(HLOOKUP(G3,$B$30:$G$31,2,1)),0,HLOOKUP(G3,$B$30:$G$31,2,1))</f>
        <v>0</v>
      </c>
      <c r="I3" s="186"/>
      <c r="J3" s="185">
        <f t="shared" ref="J3:J28" si="3">IF(ISERROR(HLOOKUP(I3,$B$30:$G$31,2,1)),0,HLOOKUP(I3,$B$30:$G$31,2,1))</f>
        <v>0</v>
      </c>
      <c r="K3" s="186"/>
      <c r="L3" s="185">
        <f t="shared" ref="L3:L28" si="4">IF(ISERROR(HLOOKUP(K3,$B$30:$G$31,2,1)),0,HLOOKUP(K3,$B$30:$G$31,2,1))</f>
        <v>0</v>
      </c>
      <c r="M3" s="186"/>
      <c r="N3" s="185">
        <f t="shared" ref="N3:N28" si="5">IF(ISERROR(HLOOKUP(M3,$B$30:$G$31,2,1)),0,HLOOKUP(M3,$B$30:$G$31,2,1))</f>
        <v>0</v>
      </c>
      <c r="O3" s="186"/>
      <c r="P3" s="185">
        <f t="shared" ref="P3:P28" si="6">IF(ISERROR(HLOOKUP(O3,$B$30:$G$31,2,1)),0,HLOOKUP(O3,$B$30:$G$31,2,1))</f>
        <v>0</v>
      </c>
      <c r="Q3" s="196">
        <v>50</v>
      </c>
      <c r="R3" s="9">
        <f t="shared" ref="R3:R19" si="7">IF(SUM(D3,F3,H3,J3,L3,N3,P3)&gt;50,Q3,SUM(D3,F3,H3,J3,L3,N3,P3))</f>
        <v>0</v>
      </c>
    </row>
    <row r="4" spans="1:18">
      <c r="A4" s="2" t="s">
        <v>124</v>
      </c>
      <c r="B4" s="84" t="str">
        <f>INDEX(Soupiska!$A$3:$B$27,MATCH(A4,Soupiska!$A$3:$A$27,0),2)</f>
        <v>B</v>
      </c>
      <c r="C4" s="186"/>
      <c r="D4" s="185">
        <f t="shared" si="0"/>
        <v>0</v>
      </c>
      <c r="E4" s="186"/>
      <c r="F4" s="185">
        <f t="shared" si="1"/>
        <v>0</v>
      </c>
      <c r="G4" s="186"/>
      <c r="H4" s="185">
        <f t="shared" si="2"/>
        <v>0</v>
      </c>
      <c r="I4" s="186"/>
      <c r="J4" s="185">
        <f t="shared" si="3"/>
        <v>0</v>
      </c>
      <c r="K4" s="186"/>
      <c r="L4" s="185">
        <f t="shared" si="4"/>
        <v>0</v>
      </c>
      <c r="M4" s="186"/>
      <c r="N4" s="185">
        <f t="shared" si="5"/>
        <v>0</v>
      </c>
      <c r="O4" s="186"/>
      <c r="P4" s="185">
        <f t="shared" si="6"/>
        <v>0</v>
      </c>
      <c r="Q4" s="196">
        <v>50</v>
      </c>
      <c r="R4" s="9">
        <f t="shared" si="7"/>
        <v>0</v>
      </c>
    </row>
    <row r="5" spans="1:18">
      <c r="A5" s="2" t="s">
        <v>39</v>
      </c>
      <c r="B5" s="84" t="str">
        <f>INDEX(Soupiska!$A$3:$B$27,MATCH(A5,Soupiska!$A$3:$A$27,0),2)</f>
        <v>B</v>
      </c>
      <c r="C5" s="186">
        <v>3</v>
      </c>
      <c r="D5" s="185">
        <f t="shared" si="0"/>
        <v>4</v>
      </c>
      <c r="E5" s="186">
        <v>2</v>
      </c>
      <c r="F5" s="185">
        <f t="shared" si="1"/>
        <v>6</v>
      </c>
      <c r="G5" s="186">
        <v>3</v>
      </c>
      <c r="H5" s="185">
        <f t="shared" si="2"/>
        <v>4</v>
      </c>
      <c r="I5" s="186">
        <v>2</v>
      </c>
      <c r="J5" s="185">
        <f t="shared" si="3"/>
        <v>6</v>
      </c>
      <c r="K5" s="186">
        <v>4</v>
      </c>
      <c r="L5" s="185">
        <f t="shared" si="4"/>
        <v>3</v>
      </c>
      <c r="M5" s="186">
        <v>3</v>
      </c>
      <c r="N5" s="185">
        <f t="shared" si="5"/>
        <v>4</v>
      </c>
      <c r="O5" s="186"/>
      <c r="P5" s="185">
        <f t="shared" si="6"/>
        <v>0</v>
      </c>
      <c r="Q5" s="196">
        <v>50</v>
      </c>
      <c r="R5" s="9">
        <f t="shared" si="7"/>
        <v>27</v>
      </c>
    </row>
    <row r="6" spans="1:18">
      <c r="A6" s="2" t="s">
        <v>40</v>
      </c>
      <c r="B6" s="84" t="str">
        <f>INDEX(Soupiska!$A$3:$B$27,MATCH(A6,Soupiska!$A$3:$A$27,0),2)</f>
        <v>D</v>
      </c>
      <c r="C6" s="186"/>
      <c r="D6" s="185">
        <f t="shared" si="0"/>
        <v>0</v>
      </c>
      <c r="E6" s="186"/>
      <c r="F6" s="185">
        <f t="shared" si="1"/>
        <v>0</v>
      </c>
      <c r="G6" s="186"/>
      <c r="H6" s="185">
        <f t="shared" si="2"/>
        <v>0</v>
      </c>
      <c r="I6" s="186"/>
      <c r="J6" s="185">
        <f t="shared" si="3"/>
        <v>0</v>
      </c>
      <c r="K6" s="186"/>
      <c r="L6" s="185">
        <f t="shared" si="4"/>
        <v>0</v>
      </c>
      <c r="M6" s="186"/>
      <c r="N6" s="185">
        <f t="shared" si="5"/>
        <v>0</v>
      </c>
      <c r="O6" s="186"/>
      <c r="P6" s="185">
        <f t="shared" si="6"/>
        <v>0</v>
      </c>
      <c r="Q6" s="196">
        <v>50</v>
      </c>
      <c r="R6" s="9">
        <f t="shared" si="7"/>
        <v>0</v>
      </c>
    </row>
    <row r="7" spans="1:18">
      <c r="A7" s="2" t="s">
        <v>41</v>
      </c>
      <c r="B7" s="84" t="str">
        <f>INDEX(Soupiska!$A$3:$B$27,MATCH(A7,Soupiska!$A$3:$A$27,0),2)</f>
        <v>D</v>
      </c>
      <c r="C7" s="186"/>
      <c r="D7" s="185">
        <f t="shared" si="0"/>
        <v>0</v>
      </c>
      <c r="E7" s="186"/>
      <c r="F7" s="185">
        <f t="shared" si="1"/>
        <v>0</v>
      </c>
      <c r="G7" s="186"/>
      <c r="H7" s="185">
        <f t="shared" si="2"/>
        <v>0</v>
      </c>
      <c r="I7" s="186"/>
      <c r="J7" s="185">
        <f t="shared" si="3"/>
        <v>0</v>
      </c>
      <c r="K7" s="186"/>
      <c r="L7" s="185">
        <f t="shared" si="4"/>
        <v>0</v>
      </c>
      <c r="M7" s="186"/>
      <c r="N7" s="185">
        <f t="shared" si="5"/>
        <v>0</v>
      </c>
      <c r="O7" s="186"/>
      <c r="P7" s="185">
        <f t="shared" si="6"/>
        <v>0</v>
      </c>
      <c r="Q7" s="196">
        <v>50</v>
      </c>
      <c r="R7" s="9">
        <f t="shared" si="7"/>
        <v>0</v>
      </c>
    </row>
    <row r="8" spans="1:18">
      <c r="A8" s="2" t="s">
        <v>42</v>
      </c>
      <c r="B8" s="84" t="str">
        <f>INDEX(Soupiska!$A$3:$B$27,MATCH(A8,Soupiska!$A$3:$A$27,0),2)</f>
        <v>A</v>
      </c>
      <c r="C8" s="186">
        <v>5</v>
      </c>
      <c r="D8" s="185">
        <f t="shared" si="0"/>
        <v>2</v>
      </c>
      <c r="E8" s="186">
        <v>4</v>
      </c>
      <c r="F8" s="185">
        <f t="shared" si="1"/>
        <v>3</v>
      </c>
      <c r="G8" s="186"/>
      <c r="H8" s="185">
        <f t="shared" si="2"/>
        <v>0</v>
      </c>
      <c r="I8" s="186"/>
      <c r="J8" s="185">
        <f t="shared" si="3"/>
        <v>0</v>
      </c>
      <c r="K8" s="186">
        <v>2</v>
      </c>
      <c r="L8" s="185">
        <f t="shared" si="4"/>
        <v>6</v>
      </c>
      <c r="M8" s="186">
        <v>5</v>
      </c>
      <c r="N8" s="185">
        <f t="shared" si="5"/>
        <v>2</v>
      </c>
      <c r="O8" s="186"/>
      <c r="P8" s="185">
        <f t="shared" si="6"/>
        <v>0</v>
      </c>
      <c r="Q8" s="196">
        <v>50</v>
      </c>
      <c r="R8" s="9">
        <f t="shared" si="7"/>
        <v>13</v>
      </c>
    </row>
    <row r="9" spans="1:18">
      <c r="A9" s="2" t="s">
        <v>43</v>
      </c>
      <c r="B9" s="84" t="s">
        <v>99</v>
      </c>
      <c r="C9" s="186"/>
      <c r="D9" s="185">
        <f t="shared" si="0"/>
        <v>0</v>
      </c>
      <c r="E9" s="186">
        <v>4</v>
      </c>
      <c r="F9" s="185">
        <f t="shared" si="1"/>
        <v>3</v>
      </c>
      <c r="G9" s="186"/>
      <c r="H9" s="185">
        <f t="shared" si="2"/>
        <v>0</v>
      </c>
      <c r="I9" s="186">
        <v>5</v>
      </c>
      <c r="J9" s="185">
        <f t="shared" si="3"/>
        <v>2</v>
      </c>
      <c r="K9" s="186"/>
      <c r="L9" s="185">
        <f t="shared" si="4"/>
        <v>0</v>
      </c>
      <c r="M9" s="186"/>
      <c r="N9" s="185">
        <f t="shared" si="5"/>
        <v>0</v>
      </c>
      <c r="O9" s="186">
        <v>3</v>
      </c>
      <c r="P9" s="185">
        <f t="shared" si="6"/>
        <v>4</v>
      </c>
      <c r="Q9" s="196">
        <v>50</v>
      </c>
      <c r="R9" s="9">
        <f t="shared" si="7"/>
        <v>9</v>
      </c>
    </row>
    <row r="10" spans="1:18">
      <c r="A10" s="2" t="s">
        <v>44</v>
      </c>
      <c r="B10" s="84" t="str">
        <f>INDEX(Soupiska!$A$3:$B$27,MATCH(A10,Soupiska!$A$3:$A$27,0),2)</f>
        <v>C</v>
      </c>
      <c r="C10" s="186"/>
      <c r="D10" s="185">
        <f t="shared" si="0"/>
        <v>0</v>
      </c>
      <c r="E10" s="186"/>
      <c r="F10" s="185">
        <f t="shared" si="1"/>
        <v>0</v>
      </c>
      <c r="G10" s="186"/>
      <c r="H10" s="185">
        <f t="shared" si="2"/>
        <v>0</v>
      </c>
      <c r="I10" s="186"/>
      <c r="J10" s="185">
        <f t="shared" si="3"/>
        <v>0</v>
      </c>
      <c r="K10" s="186"/>
      <c r="L10" s="185">
        <f t="shared" si="4"/>
        <v>0</v>
      </c>
      <c r="M10" s="186"/>
      <c r="N10" s="185">
        <f t="shared" si="5"/>
        <v>0</v>
      </c>
      <c r="O10" s="186"/>
      <c r="P10" s="185">
        <f t="shared" si="6"/>
        <v>0</v>
      </c>
      <c r="Q10" s="196">
        <v>50</v>
      </c>
      <c r="R10" s="9">
        <f t="shared" si="7"/>
        <v>0</v>
      </c>
    </row>
    <row r="11" spans="1:18">
      <c r="A11" s="2" t="s">
        <v>45</v>
      </c>
      <c r="B11" s="84" t="str">
        <f>INDEX(Soupiska!$A$3:$B$27,MATCH(A11,Soupiska!$A$3:$A$27,0),2)</f>
        <v>B</v>
      </c>
      <c r="C11" s="186"/>
      <c r="D11" s="185">
        <f t="shared" si="0"/>
        <v>0</v>
      </c>
      <c r="E11" s="186">
        <v>4</v>
      </c>
      <c r="F11" s="185">
        <f t="shared" si="1"/>
        <v>3</v>
      </c>
      <c r="G11" s="186"/>
      <c r="H11" s="185">
        <f t="shared" si="2"/>
        <v>0</v>
      </c>
      <c r="I11" s="186"/>
      <c r="J11" s="185">
        <f t="shared" si="3"/>
        <v>0</v>
      </c>
      <c r="K11" s="186"/>
      <c r="L11" s="185">
        <f t="shared" si="4"/>
        <v>0</v>
      </c>
      <c r="M11" s="186"/>
      <c r="N11" s="185">
        <f t="shared" si="5"/>
        <v>0</v>
      </c>
      <c r="O11" s="186"/>
      <c r="P11" s="185">
        <f t="shared" si="6"/>
        <v>0</v>
      </c>
      <c r="Q11" s="196">
        <v>50</v>
      </c>
      <c r="R11" s="9">
        <f t="shared" si="7"/>
        <v>3</v>
      </c>
    </row>
    <row r="12" spans="1:18">
      <c r="A12" s="2" t="s">
        <v>46</v>
      </c>
      <c r="B12" s="84" t="str">
        <f>INDEX(Soupiska!$A$3:$B$27,MATCH(A12,Soupiska!$A$3:$A$27,0),2)</f>
        <v>C</v>
      </c>
      <c r="C12" s="186"/>
      <c r="D12" s="185">
        <f t="shared" si="0"/>
        <v>0</v>
      </c>
      <c r="E12" s="186"/>
      <c r="F12" s="185">
        <f t="shared" si="1"/>
        <v>0</v>
      </c>
      <c r="G12" s="186">
        <v>5</v>
      </c>
      <c r="H12" s="185">
        <f t="shared" si="2"/>
        <v>2</v>
      </c>
      <c r="I12" s="186"/>
      <c r="J12" s="185">
        <f t="shared" si="3"/>
        <v>0</v>
      </c>
      <c r="K12" s="186"/>
      <c r="L12" s="185">
        <f t="shared" si="4"/>
        <v>0</v>
      </c>
      <c r="M12" s="186"/>
      <c r="N12" s="185">
        <f t="shared" si="5"/>
        <v>0</v>
      </c>
      <c r="O12" s="186"/>
      <c r="P12" s="185">
        <f t="shared" si="6"/>
        <v>0</v>
      </c>
      <c r="Q12" s="196">
        <v>50</v>
      </c>
      <c r="R12" s="9">
        <f t="shared" si="7"/>
        <v>2</v>
      </c>
    </row>
    <row r="13" spans="1:18">
      <c r="A13" s="2" t="s">
        <v>48</v>
      </c>
      <c r="B13" s="84" t="str">
        <f>INDEX(Soupiska!$A$3:$B$27,MATCH(A13,Soupiska!$A$3:$A$27,0),2)</f>
        <v>A</v>
      </c>
      <c r="C13" s="186"/>
      <c r="D13" s="185">
        <f t="shared" si="0"/>
        <v>0</v>
      </c>
      <c r="E13" s="186"/>
      <c r="F13" s="185">
        <f t="shared" si="1"/>
        <v>0</v>
      </c>
      <c r="G13" s="186"/>
      <c r="H13" s="185">
        <f t="shared" si="2"/>
        <v>0</v>
      </c>
      <c r="I13" s="186"/>
      <c r="J13" s="185">
        <f t="shared" si="3"/>
        <v>0</v>
      </c>
      <c r="K13" s="186"/>
      <c r="L13" s="185">
        <f t="shared" si="4"/>
        <v>0</v>
      </c>
      <c r="M13" s="186"/>
      <c r="N13" s="185">
        <f t="shared" si="5"/>
        <v>0</v>
      </c>
      <c r="O13" s="186"/>
      <c r="P13" s="185">
        <f t="shared" si="6"/>
        <v>0</v>
      </c>
      <c r="Q13" s="196">
        <v>50</v>
      </c>
      <c r="R13" s="9">
        <f t="shared" si="7"/>
        <v>0</v>
      </c>
    </row>
    <row r="14" spans="1:18">
      <c r="A14" s="13" t="s">
        <v>159</v>
      </c>
      <c r="B14" s="84" t="str">
        <f>INDEX(Soupiska!$A$3:$B$27,MATCH(A14,Soupiska!$A$3:$A$27,0),2)</f>
        <v>C</v>
      </c>
      <c r="C14" s="186">
        <v>2</v>
      </c>
      <c r="D14" s="185">
        <f t="shared" si="0"/>
        <v>6</v>
      </c>
      <c r="E14" s="186"/>
      <c r="F14" s="185">
        <f t="shared" si="1"/>
        <v>0</v>
      </c>
      <c r="G14" s="186"/>
      <c r="H14" s="185">
        <f t="shared" si="2"/>
        <v>0</v>
      </c>
      <c r="I14" s="186"/>
      <c r="J14" s="185">
        <f t="shared" si="3"/>
        <v>0</v>
      </c>
      <c r="K14" s="186">
        <v>1</v>
      </c>
      <c r="L14" s="185">
        <f t="shared" si="4"/>
        <v>10</v>
      </c>
      <c r="M14" s="186">
        <v>1</v>
      </c>
      <c r="N14" s="185">
        <f t="shared" si="5"/>
        <v>10</v>
      </c>
      <c r="O14" s="186">
        <v>2</v>
      </c>
      <c r="P14" s="185">
        <f t="shared" si="6"/>
        <v>6</v>
      </c>
      <c r="Q14" s="196">
        <v>50</v>
      </c>
      <c r="R14" s="9">
        <f t="shared" si="7"/>
        <v>32</v>
      </c>
    </row>
    <row r="15" spans="1:18">
      <c r="A15" s="2" t="s">
        <v>49</v>
      </c>
      <c r="B15" s="84" t="str">
        <f>INDEX(Soupiska!$A$3:$B$27,MATCH(A15,Soupiska!$A$3:$A$27,0),2)</f>
        <v>D</v>
      </c>
      <c r="C15" s="186"/>
      <c r="D15" s="185">
        <f t="shared" si="0"/>
        <v>0</v>
      </c>
      <c r="E15" s="186"/>
      <c r="F15" s="185">
        <f t="shared" si="1"/>
        <v>0</v>
      </c>
      <c r="G15" s="186"/>
      <c r="H15" s="185">
        <f t="shared" si="2"/>
        <v>0</v>
      </c>
      <c r="I15" s="186"/>
      <c r="J15" s="185">
        <f t="shared" si="3"/>
        <v>0</v>
      </c>
      <c r="K15" s="186"/>
      <c r="L15" s="185">
        <f t="shared" si="4"/>
        <v>0</v>
      </c>
      <c r="M15" s="186"/>
      <c r="N15" s="185">
        <f t="shared" si="5"/>
        <v>0</v>
      </c>
      <c r="O15" s="186"/>
      <c r="P15" s="185">
        <f t="shared" si="6"/>
        <v>0</v>
      </c>
      <c r="Q15" s="196">
        <v>50</v>
      </c>
      <c r="R15" s="9">
        <f t="shared" si="7"/>
        <v>0</v>
      </c>
    </row>
    <row r="16" spans="1:18">
      <c r="A16" s="2" t="s">
        <v>50</v>
      </c>
      <c r="B16" s="84" t="str">
        <f>INDEX(Soupiska!$A$3:$B$27,MATCH(A16,Soupiska!$A$3:$A$27,0),2)</f>
        <v>D</v>
      </c>
      <c r="C16" s="186"/>
      <c r="D16" s="185">
        <f t="shared" si="0"/>
        <v>0</v>
      </c>
      <c r="E16" s="186"/>
      <c r="F16" s="185">
        <f t="shared" si="1"/>
        <v>0</v>
      </c>
      <c r="G16" s="186"/>
      <c r="H16" s="185">
        <f t="shared" si="2"/>
        <v>0</v>
      </c>
      <c r="I16" s="186"/>
      <c r="J16" s="185">
        <f t="shared" si="3"/>
        <v>0</v>
      </c>
      <c r="K16" s="186"/>
      <c r="L16" s="185">
        <f t="shared" si="4"/>
        <v>0</v>
      </c>
      <c r="M16" s="186"/>
      <c r="N16" s="185">
        <f t="shared" si="5"/>
        <v>0</v>
      </c>
      <c r="O16" s="186"/>
      <c r="P16" s="185">
        <f t="shared" si="6"/>
        <v>0</v>
      </c>
      <c r="Q16" s="196">
        <v>50</v>
      </c>
      <c r="R16" s="9">
        <f t="shared" si="7"/>
        <v>0</v>
      </c>
    </row>
    <row r="17" spans="1:18">
      <c r="A17" s="2" t="s">
        <v>122</v>
      </c>
      <c r="B17" s="84" t="str">
        <f>INDEX(Soupiska!$A$3:$B$27,MATCH(A17,Soupiska!$A$3:$A$27,0),2)</f>
        <v>D</v>
      </c>
      <c r="C17" s="186"/>
      <c r="D17" s="185">
        <f t="shared" si="0"/>
        <v>0</v>
      </c>
      <c r="E17" s="186"/>
      <c r="F17" s="185">
        <f t="shared" si="1"/>
        <v>0</v>
      </c>
      <c r="G17" s="186"/>
      <c r="H17" s="185">
        <f t="shared" si="2"/>
        <v>0</v>
      </c>
      <c r="I17" s="186"/>
      <c r="J17" s="185">
        <f t="shared" si="3"/>
        <v>0</v>
      </c>
      <c r="K17" s="186"/>
      <c r="L17" s="185">
        <f t="shared" si="4"/>
        <v>0</v>
      </c>
      <c r="M17" s="186"/>
      <c r="N17" s="185">
        <f t="shared" si="5"/>
        <v>0</v>
      </c>
      <c r="O17" s="186">
        <v>3</v>
      </c>
      <c r="P17" s="185">
        <f t="shared" si="6"/>
        <v>4</v>
      </c>
      <c r="Q17" s="196">
        <v>50</v>
      </c>
      <c r="R17" s="9">
        <f t="shared" si="7"/>
        <v>4</v>
      </c>
    </row>
    <row r="18" spans="1:18">
      <c r="A18" s="2" t="s">
        <v>51</v>
      </c>
      <c r="B18" s="84" t="str">
        <f>INDEX(Soupiska!$A$3:$B$27,MATCH(A18,Soupiska!$A$3:$A$27,0),2)</f>
        <v>D</v>
      </c>
      <c r="C18" s="186"/>
      <c r="D18" s="185">
        <f t="shared" si="0"/>
        <v>0</v>
      </c>
      <c r="E18" s="186"/>
      <c r="F18" s="185">
        <f t="shared" si="1"/>
        <v>0</v>
      </c>
      <c r="G18" s="186"/>
      <c r="H18" s="185">
        <f t="shared" si="2"/>
        <v>0</v>
      </c>
      <c r="I18" s="186"/>
      <c r="J18" s="185">
        <f t="shared" si="3"/>
        <v>0</v>
      </c>
      <c r="K18" s="186">
        <v>6</v>
      </c>
      <c r="L18" s="185">
        <f t="shared" si="4"/>
        <v>1</v>
      </c>
      <c r="M18" s="186"/>
      <c r="N18" s="185">
        <f t="shared" si="5"/>
        <v>0</v>
      </c>
      <c r="O18" s="186"/>
      <c r="P18" s="185">
        <f t="shared" si="6"/>
        <v>0</v>
      </c>
      <c r="Q18" s="196">
        <v>50</v>
      </c>
      <c r="R18" s="9">
        <f t="shared" si="7"/>
        <v>1</v>
      </c>
    </row>
    <row r="19" spans="1:18">
      <c r="A19" s="2" t="s">
        <v>52</v>
      </c>
      <c r="B19" s="84" t="str">
        <f>INDEX(Soupiska!$A$3:$B$27,MATCH(A19,Soupiska!$A$3:$A$27,0),2)</f>
        <v>C</v>
      </c>
      <c r="C19" s="186"/>
      <c r="D19" s="185">
        <f t="shared" si="0"/>
        <v>0</v>
      </c>
      <c r="E19" s="186"/>
      <c r="F19" s="185">
        <f t="shared" si="1"/>
        <v>0</v>
      </c>
      <c r="G19" s="186"/>
      <c r="H19" s="185">
        <f t="shared" si="2"/>
        <v>0</v>
      </c>
      <c r="I19" s="186"/>
      <c r="J19" s="185">
        <f t="shared" si="3"/>
        <v>0</v>
      </c>
      <c r="K19" s="186"/>
      <c r="L19" s="185">
        <f t="shared" si="4"/>
        <v>0</v>
      </c>
      <c r="M19" s="186"/>
      <c r="N19" s="185">
        <f t="shared" si="5"/>
        <v>0</v>
      </c>
      <c r="O19" s="186">
        <v>3</v>
      </c>
      <c r="P19" s="185">
        <f t="shared" si="6"/>
        <v>4</v>
      </c>
      <c r="Q19" s="196">
        <v>50</v>
      </c>
      <c r="R19" s="9">
        <f t="shared" si="7"/>
        <v>4</v>
      </c>
    </row>
    <row r="20" spans="1:18">
      <c r="A20" s="2" t="s">
        <v>53</v>
      </c>
      <c r="B20" s="84" t="str">
        <f>INDEX(Soupiska!$A$3:$B$27,MATCH(A20,Soupiska!$A$3:$A$27,0),2)</f>
        <v>A</v>
      </c>
      <c r="C20" s="186">
        <v>1</v>
      </c>
      <c r="D20" s="185">
        <f t="shared" si="0"/>
        <v>10</v>
      </c>
      <c r="E20" s="186">
        <v>4</v>
      </c>
      <c r="F20" s="185">
        <f t="shared" si="1"/>
        <v>3</v>
      </c>
      <c r="G20" s="186">
        <v>5</v>
      </c>
      <c r="H20" s="185">
        <f t="shared" si="2"/>
        <v>2</v>
      </c>
      <c r="I20" s="186">
        <v>3</v>
      </c>
      <c r="J20" s="185">
        <f t="shared" si="3"/>
        <v>4</v>
      </c>
      <c r="K20" s="186">
        <v>6</v>
      </c>
      <c r="L20" s="185">
        <f t="shared" si="4"/>
        <v>1</v>
      </c>
      <c r="M20" s="186">
        <v>5</v>
      </c>
      <c r="N20" s="185">
        <f t="shared" si="5"/>
        <v>2</v>
      </c>
      <c r="O20" s="186"/>
      <c r="P20" s="185">
        <f t="shared" si="6"/>
        <v>0</v>
      </c>
      <c r="Q20" s="196">
        <v>50</v>
      </c>
      <c r="R20" s="9">
        <f>IF(SUM(D20,F20,H20,J20,L20,N20,P20)&gt;50,Q20,SUM(D20,F20,H20,J20,L20,N20,P20))</f>
        <v>22</v>
      </c>
    </row>
    <row r="21" spans="1:18">
      <c r="A21" s="2" t="s">
        <v>54</v>
      </c>
      <c r="B21" s="84" t="str">
        <f>INDEX(Soupiska!$A$3:$B$27,MATCH(A21,Soupiska!$A$3:$A$27,0),2)</f>
        <v>D</v>
      </c>
      <c r="C21" s="186"/>
      <c r="D21" s="185">
        <f t="shared" si="0"/>
        <v>0</v>
      </c>
      <c r="E21" s="186"/>
      <c r="F21" s="185">
        <f t="shared" si="1"/>
        <v>0</v>
      </c>
      <c r="G21" s="186"/>
      <c r="H21" s="185">
        <f t="shared" si="2"/>
        <v>0</v>
      </c>
      <c r="I21" s="186"/>
      <c r="J21" s="185">
        <f t="shared" si="3"/>
        <v>0</v>
      </c>
      <c r="K21" s="186"/>
      <c r="L21" s="185">
        <f t="shared" si="4"/>
        <v>0</v>
      </c>
      <c r="M21" s="186"/>
      <c r="N21" s="185">
        <f t="shared" si="5"/>
        <v>0</v>
      </c>
      <c r="O21" s="186"/>
      <c r="P21" s="185">
        <f t="shared" si="6"/>
        <v>0</v>
      </c>
      <c r="Q21" s="196">
        <v>50</v>
      </c>
      <c r="R21" s="9">
        <f t="shared" ref="R21:R28" si="8">IF(SUM(D21,F21,H21,J21,L21,N21,P21)&gt;50,Q21,SUM(D21,F21,H21,J21,L21,N21,P21))</f>
        <v>0</v>
      </c>
    </row>
    <row r="22" spans="1:18">
      <c r="A22" s="2" t="s">
        <v>55</v>
      </c>
      <c r="B22" s="84" t="str">
        <f>INDEX(Soupiska!$A$3:$B$27,MATCH(A22,Soupiska!$A$3:$A$27,0),2)</f>
        <v>D</v>
      </c>
      <c r="C22" s="186"/>
      <c r="D22" s="185">
        <f t="shared" si="0"/>
        <v>0</v>
      </c>
      <c r="E22" s="186"/>
      <c r="F22" s="185">
        <f t="shared" si="1"/>
        <v>0</v>
      </c>
      <c r="G22" s="186">
        <v>1</v>
      </c>
      <c r="H22" s="185">
        <f t="shared" si="2"/>
        <v>10</v>
      </c>
      <c r="I22" s="186">
        <v>5</v>
      </c>
      <c r="J22" s="185">
        <f t="shared" si="3"/>
        <v>2</v>
      </c>
      <c r="K22" s="186">
        <v>6</v>
      </c>
      <c r="L22" s="185">
        <f t="shared" si="4"/>
        <v>1</v>
      </c>
      <c r="M22" s="186"/>
      <c r="N22" s="185">
        <f t="shared" si="5"/>
        <v>0</v>
      </c>
      <c r="O22" s="186">
        <v>1</v>
      </c>
      <c r="P22" s="185">
        <f t="shared" si="6"/>
        <v>10</v>
      </c>
      <c r="Q22" s="196">
        <v>50</v>
      </c>
      <c r="R22" s="9">
        <f t="shared" si="8"/>
        <v>23</v>
      </c>
    </row>
    <row r="23" spans="1:18">
      <c r="A23" s="2" t="s">
        <v>56</v>
      </c>
      <c r="B23" s="84" t="str">
        <f>INDEX(Soupiska!$A$3:$B$27,MATCH(A23,Soupiska!$A$3:$A$27,0),2)</f>
        <v>D</v>
      </c>
      <c r="C23" s="186"/>
      <c r="D23" s="185">
        <f t="shared" si="0"/>
        <v>0</v>
      </c>
      <c r="E23" s="186"/>
      <c r="F23" s="185">
        <f t="shared" si="1"/>
        <v>0</v>
      </c>
      <c r="G23" s="186"/>
      <c r="H23" s="185">
        <f t="shared" si="2"/>
        <v>0</v>
      </c>
      <c r="I23" s="186"/>
      <c r="J23" s="185">
        <f t="shared" si="3"/>
        <v>0</v>
      </c>
      <c r="K23" s="186"/>
      <c r="L23" s="185">
        <f t="shared" si="4"/>
        <v>0</v>
      </c>
      <c r="M23" s="186"/>
      <c r="N23" s="185">
        <f t="shared" si="5"/>
        <v>0</v>
      </c>
      <c r="O23" s="186"/>
      <c r="P23" s="185">
        <f t="shared" si="6"/>
        <v>0</v>
      </c>
      <c r="Q23" s="196">
        <v>50</v>
      </c>
      <c r="R23" s="9">
        <f t="shared" si="8"/>
        <v>0</v>
      </c>
    </row>
    <row r="24" spans="1:18">
      <c r="A24" s="2" t="s">
        <v>95</v>
      </c>
      <c r="B24" s="84" t="str">
        <f>INDEX(Soupiska!$A$3:$B$27,MATCH(A24,Soupiska!$A$3:$A$27,0),2)</f>
        <v>B</v>
      </c>
      <c r="C24" s="186">
        <v>5</v>
      </c>
      <c r="D24" s="185">
        <f t="shared" si="0"/>
        <v>2</v>
      </c>
      <c r="E24" s="186">
        <v>1</v>
      </c>
      <c r="F24" s="185">
        <f t="shared" si="1"/>
        <v>10</v>
      </c>
      <c r="G24" s="186">
        <v>2</v>
      </c>
      <c r="H24" s="185">
        <f t="shared" si="2"/>
        <v>6</v>
      </c>
      <c r="I24" s="186">
        <v>1</v>
      </c>
      <c r="J24" s="185">
        <f t="shared" si="3"/>
        <v>10</v>
      </c>
      <c r="K24" s="186"/>
      <c r="L24" s="185">
        <f t="shared" si="4"/>
        <v>0</v>
      </c>
      <c r="M24" s="186">
        <v>2</v>
      </c>
      <c r="N24" s="185">
        <f t="shared" si="5"/>
        <v>6</v>
      </c>
      <c r="O24" s="186"/>
      <c r="P24" s="185">
        <f t="shared" si="6"/>
        <v>0</v>
      </c>
      <c r="Q24" s="196">
        <v>50</v>
      </c>
      <c r="R24" s="9">
        <f t="shared" si="8"/>
        <v>34</v>
      </c>
    </row>
    <row r="25" spans="1:18">
      <c r="A25" s="2" t="s">
        <v>57</v>
      </c>
      <c r="B25" s="84" t="str">
        <f>INDEX(Soupiska!$A$3:$B$27,MATCH(A25,Soupiska!$A$3:$A$27,0),2)</f>
        <v>A</v>
      </c>
      <c r="C25" s="186">
        <v>4</v>
      </c>
      <c r="D25" s="185">
        <f t="shared" si="0"/>
        <v>3</v>
      </c>
      <c r="E25" s="186"/>
      <c r="F25" s="185">
        <f t="shared" si="1"/>
        <v>0</v>
      </c>
      <c r="G25" s="186"/>
      <c r="H25" s="185">
        <f t="shared" si="2"/>
        <v>0</v>
      </c>
      <c r="I25" s="186">
        <v>5</v>
      </c>
      <c r="J25" s="185">
        <f t="shared" si="3"/>
        <v>2</v>
      </c>
      <c r="K25" s="186">
        <v>5</v>
      </c>
      <c r="L25" s="185">
        <f t="shared" si="4"/>
        <v>2</v>
      </c>
      <c r="M25" s="186"/>
      <c r="N25" s="185">
        <f t="shared" si="5"/>
        <v>0</v>
      </c>
      <c r="O25" s="186"/>
      <c r="P25" s="185">
        <f t="shared" si="6"/>
        <v>0</v>
      </c>
      <c r="Q25" s="196">
        <v>50</v>
      </c>
      <c r="R25" s="9">
        <f t="shared" si="8"/>
        <v>7</v>
      </c>
    </row>
    <row r="26" spans="1:18">
      <c r="A26" s="2" t="s">
        <v>161</v>
      </c>
      <c r="B26" s="84" t="s">
        <v>99</v>
      </c>
      <c r="C26" s="186"/>
      <c r="D26" s="185">
        <f t="shared" ref="D26" si="9">IF(ISERROR(HLOOKUP(C26,$B$30:$G$31,2,1)),0,HLOOKUP(C26,$B$30:$G$31,2,1))</f>
        <v>0</v>
      </c>
      <c r="E26" s="186"/>
      <c r="F26" s="185">
        <f t="shared" ref="F26" si="10">IF(ISERROR(HLOOKUP(E26,$B$30:$G$31,2,1)),0,HLOOKUP(E26,$B$30:$G$31,2,1))</f>
        <v>0</v>
      </c>
      <c r="G26" s="186"/>
      <c r="H26" s="185">
        <f t="shared" ref="H26" si="11">IF(ISERROR(HLOOKUP(G26,$B$30:$G$31,2,1)),0,HLOOKUP(G26,$B$30:$G$31,2,1))</f>
        <v>0</v>
      </c>
      <c r="I26" s="186"/>
      <c r="J26" s="185">
        <f t="shared" ref="J26" si="12">IF(ISERROR(HLOOKUP(I26,$B$30:$G$31,2,1)),0,HLOOKUP(I26,$B$30:$G$31,2,1))</f>
        <v>0</v>
      </c>
      <c r="K26" s="186"/>
      <c r="L26" s="185">
        <f t="shared" ref="L26" si="13">IF(ISERROR(HLOOKUP(K26,$B$30:$G$31,2,1)),0,HLOOKUP(K26,$B$30:$G$31,2,1))</f>
        <v>0</v>
      </c>
      <c r="M26" s="186"/>
      <c r="N26" s="185">
        <f t="shared" ref="N26" si="14">IF(ISERROR(HLOOKUP(M26,$B$30:$G$31,2,1)),0,HLOOKUP(M26,$B$30:$G$31,2,1))</f>
        <v>0</v>
      </c>
      <c r="O26" s="186"/>
      <c r="P26" s="185">
        <f t="shared" ref="P26" si="15">IF(ISERROR(HLOOKUP(O26,$B$30:$G$31,2,1)),0,HLOOKUP(O26,$B$30:$G$31,2,1))</f>
        <v>0</v>
      </c>
      <c r="Q26" s="196">
        <v>50</v>
      </c>
      <c r="R26" s="9">
        <f t="shared" si="8"/>
        <v>0</v>
      </c>
    </row>
    <row r="27" spans="1:18">
      <c r="A27" s="2" t="s">
        <v>58</v>
      </c>
      <c r="B27" s="84" t="str">
        <f>INDEX(Soupiska!$A$3:$B$27,MATCH(A27,Soupiska!$A$3:$A$27,0),2)</f>
        <v>D</v>
      </c>
      <c r="C27" s="186"/>
      <c r="D27" s="185">
        <f t="shared" si="0"/>
        <v>0</v>
      </c>
      <c r="E27" s="186"/>
      <c r="F27" s="185">
        <f t="shared" si="1"/>
        <v>0</v>
      </c>
      <c r="G27" s="186"/>
      <c r="H27" s="185">
        <f t="shared" si="2"/>
        <v>0</v>
      </c>
      <c r="I27" s="186"/>
      <c r="J27" s="185">
        <f t="shared" si="3"/>
        <v>0</v>
      </c>
      <c r="K27" s="186"/>
      <c r="L27" s="185">
        <f t="shared" si="4"/>
        <v>0</v>
      </c>
      <c r="M27" s="186"/>
      <c r="N27" s="185">
        <f t="shared" si="5"/>
        <v>0</v>
      </c>
      <c r="O27" s="186"/>
      <c r="P27" s="185">
        <f t="shared" si="6"/>
        <v>0</v>
      </c>
      <c r="Q27" s="196">
        <v>50</v>
      </c>
      <c r="R27" s="9">
        <f t="shared" si="8"/>
        <v>0</v>
      </c>
    </row>
    <row r="28" spans="1:18">
      <c r="A28" s="2" t="s">
        <v>59</v>
      </c>
      <c r="B28" s="84" t="str">
        <f>INDEX(Soupiska!$A$3:$B$27,MATCH(A28,Soupiska!$A$3:$A$27,0),2)</f>
        <v>D</v>
      </c>
      <c r="C28" s="186"/>
      <c r="D28" s="185">
        <f t="shared" si="0"/>
        <v>0</v>
      </c>
      <c r="E28" s="186"/>
      <c r="F28" s="185">
        <f t="shared" si="1"/>
        <v>0</v>
      </c>
      <c r="G28" s="186"/>
      <c r="H28" s="185">
        <f t="shared" si="2"/>
        <v>0</v>
      </c>
      <c r="I28" s="186">
        <v>3</v>
      </c>
      <c r="J28" s="185">
        <f t="shared" si="3"/>
        <v>4</v>
      </c>
      <c r="K28" s="186"/>
      <c r="L28" s="185">
        <f t="shared" si="4"/>
        <v>0</v>
      </c>
      <c r="M28" s="186">
        <v>4</v>
      </c>
      <c r="N28" s="185">
        <f t="shared" si="5"/>
        <v>3</v>
      </c>
      <c r="O28" s="186">
        <v>3</v>
      </c>
      <c r="P28" s="185">
        <f t="shared" si="6"/>
        <v>4</v>
      </c>
      <c r="Q28" s="196">
        <v>50</v>
      </c>
      <c r="R28" s="9">
        <f t="shared" si="8"/>
        <v>11</v>
      </c>
    </row>
    <row r="29" spans="1:18" ht="15.75" thickBot="1">
      <c r="B29" s="63"/>
      <c r="R29" s="11">
        <f>SUM(R3:R28)</f>
        <v>192</v>
      </c>
    </row>
    <row r="30" spans="1:18">
      <c r="A30" s="150" t="s">
        <v>125</v>
      </c>
      <c r="B30" s="151">
        <v>1</v>
      </c>
      <c r="C30" s="151">
        <v>2</v>
      </c>
      <c r="D30" s="151">
        <v>3</v>
      </c>
      <c r="E30" s="151">
        <v>4</v>
      </c>
      <c r="F30" s="151">
        <v>5</v>
      </c>
      <c r="G30" s="152">
        <v>6</v>
      </c>
      <c r="H30" s="187"/>
      <c r="I30" s="187"/>
      <c r="J30" s="187"/>
      <c r="K30" s="187"/>
      <c r="L30" s="187"/>
      <c r="M30" s="61"/>
      <c r="N30" s="61"/>
      <c r="O30" s="94"/>
      <c r="P30" s="94"/>
      <c r="Q30" s="94"/>
      <c r="R30" s="94"/>
    </row>
    <row r="31" spans="1:18" ht="15.75" thickBot="1">
      <c r="A31" s="149" t="s">
        <v>126</v>
      </c>
      <c r="B31" s="153">
        <v>10</v>
      </c>
      <c r="C31" s="153">
        <v>6</v>
      </c>
      <c r="D31" s="153">
        <v>4</v>
      </c>
      <c r="E31" s="153">
        <v>3</v>
      </c>
      <c r="F31" s="153">
        <v>2</v>
      </c>
      <c r="G31" s="154">
        <v>1</v>
      </c>
      <c r="H31" s="188"/>
      <c r="I31" s="188"/>
      <c r="J31" s="188"/>
      <c r="K31" s="188"/>
      <c r="L31" s="188"/>
      <c r="M31" s="62"/>
      <c r="N31" s="62"/>
    </row>
  </sheetData>
  <mergeCells count="1">
    <mergeCell ref="A1:R1"/>
  </mergeCells>
  <dataValidations count="1">
    <dataValidation showInputMessage="1" showErrorMessage="1" promptTitle="Upozornění !!!" sqref="A3:B28"/>
  </dataValidation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E9" sqref="E9"/>
    </sheetView>
  </sheetViews>
  <sheetFormatPr defaultRowHeight="15"/>
  <cols>
    <col min="1" max="1" width="3.7109375" customWidth="1"/>
    <col min="2" max="2" width="17.7109375" customWidth="1"/>
    <col min="3" max="3" width="3.85546875" customWidth="1"/>
    <col min="4" max="8" width="5.7109375" customWidth="1"/>
    <col min="9" max="9" width="6.7109375" customWidth="1"/>
  </cols>
  <sheetData>
    <row r="1" spans="1:10" ht="16.5" thickBot="1">
      <c r="A1" s="241" t="s">
        <v>164</v>
      </c>
      <c r="B1" s="332"/>
      <c r="C1" s="332"/>
      <c r="D1" s="332"/>
      <c r="E1" s="332"/>
      <c r="F1" s="332"/>
      <c r="G1" s="332"/>
      <c r="H1" s="332"/>
      <c r="I1" s="332"/>
    </row>
    <row r="2" spans="1:10" ht="15.75" thickBot="1">
      <c r="A2" s="32" t="s">
        <v>72</v>
      </c>
      <c r="B2" s="33" t="s">
        <v>36</v>
      </c>
      <c r="C2" s="33" t="s">
        <v>96</v>
      </c>
      <c r="D2" s="33" t="s">
        <v>71</v>
      </c>
      <c r="E2" s="33" t="s">
        <v>68</v>
      </c>
      <c r="F2" s="33" t="s">
        <v>69</v>
      </c>
      <c r="G2" s="34" t="s">
        <v>94</v>
      </c>
      <c r="H2" s="34" t="s">
        <v>128</v>
      </c>
      <c r="I2" s="35" t="s">
        <v>61</v>
      </c>
      <c r="J2" s="198" t="s">
        <v>149</v>
      </c>
    </row>
    <row r="3" spans="1:10">
      <c r="A3" s="29" t="s">
        <v>1</v>
      </c>
      <c r="B3" s="14" t="s">
        <v>45</v>
      </c>
      <c r="C3" s="24" t="str">
        <f>LOOKUP(B3,Soupiska!$A$3:$A$27,Soupiska!$B$3:$B$27)</f>
        <v>B</v>
      </c>
      <c r="D3" s="366">
        <f>LOOKUP(B3,Treninky!$A$3:$A$27,Treninky!$AP$3:$AP$27)</f>
        <v>70</v>
      </c>
      <c r="E3" s="26">
        <f>LOOKUP(B3,Turnaje!$A$3:$A$27,Turnaje!$N$3:$N$27)</f>
        <v>16</v>
      </c>
      <c r="F3" s="26">
        <f>LOOKUP(B3,Mistráky!$A$3:$A$28,Mistráky!$AE$3:$AE$28)</f>
        <v>686</v>
      </c>
      <c r="G3" s="27">
        <f>LOOKUP(B3,'Český pohár'!$A$3:$A$27,'Český pohár'!$Q$3:$Q$27)</f>
        <v>22</v>
      </c>
      <c r="H3" s="27">
        <f>LOOKUP(B3,Anketa!$A$3:$A$28,Anketa!$R$3:$R$28)</f>
        <v>3</v>
      </c>
      <c r="I3" s="30">
        <f t="shared" ref="I3:I27" si="0">SUM(D3:H3)</f>
        <v>797</v>
      </c>
      <c r="J3">
        <f>SUM(F3:G3)</f>
        <v>708</v>
      </c>
    </row>
    <row r="4" spans="1:10">
      <c r="A4" s="121" t="s">
        <v>2</v>
      </c>
      <c r="B4" s="13" t="s">
        <v>159</v>
      </c>
      <c r="C4" s="25" t="str">
        <f>LOOKUP(B4,Soupiska!$A$3:$A$27,Soupiska!$B$3:$B$27)</f>
        <v>C</v>
      </c>
      <c r="D4" s="12">
        <f>LOOKUP(B4,Treninky!$A$3:$A$27,Treninky!$AP$3:$AP$27)</f>
        <v>42</v>
      </c>
      <c r="E4" s="12">
        <f>LOOKUP(B4,Turnaje!$A$3:$A$27,Turnaje!$N$3:$N$27)</f>
        <v>0</v>
      </c>
      <c r="F4" s="12">
        <f>LOOKUP(B4,Mistráky!$A$3:$A$28,Mistráky!$AE$3:$AE$28)</f>
        <v>676</v>
      </c>
      <c r="G4" s="28">
        <f>LOOKUP(B4,'Český pohár'!$A$3:$A$27,'Český pohár'!$Q$3:$Q$27)</f>
        <v>21</v>
      </c>
      <c r="H4" s="28">
        <v>16</v>
      </c>
      <c r="I4" s="31">
        <f t="shared" si="0"/>
        <v>755</v>
      </c>
      <c r="J4">
        <f t="shared" ref="J4:J27" si="1">SUM(F4:G4)</f>
        <v>697</v>
      </c>
    </row>
    <row r="5" spans="1:10">
      <c r="A5" s="162" t="s">
        <v>3</v>
      </c>
      <c r="B5" s="13" t="s">
        <v>44</v>
      </c>
      <c r="C5" s="25" t="str">
        <f>LOOKUP(B5,Soupiska!$A$3:$A$27,Soupiska!$B$3:$B$27)</f>
        <v>C</v>
      </c>
      <c r="D5" s="12">
        <f>LOOKUP(B5,Treninky!$A$3:$A$27,Treninky!$AP$3:$AP$27)</f>
        <v>44</v>
      </c>
      <c r="E5" s="12">
        <f>LOOKUP(B5,Turnaje!$A$3:$A$27,Turnaje!$N$3:$N$27)</f>
        <v>50</v>
      </c>
      <c r="F5" s="12">
        <f>LOOKUP(B5,Mistráky!$A$3:$A$28,Mistráky!$AE$3:$AE$28)</f>
        <v>388</v>
      </c>
      <c r="G5" s="28">
        <f>LOOKUP(B5,'Český pohár'!$A$3:$A$27,'Český pohár'!$Q$3:$Q$27)</f>
        <v>0</v>
      </c>
      <c r="H5" s="28">
        <f>LOOKUP(B5,Anketa!$A$3:$A$28,Anketa!$R$3:$R$28)</f>
        <v>0</v>
      </c>
      <c r="I5" s="31">
        <f t="shared" si="0"/>
        <v>482</v>
      </c>
      <c r="J5">
        <f t="shared" si="1"/>
        <v>388</v>
      </c>
    </row>
    <row r="6" spans="1:10">
      <c r="A6" s="162" t="s">
        <v>4</v>
      </c>
      <c r="B6" s="13" t="s">
        <v>42</v>
      </c>
      <c r="C6" s="25" t="str">
        <f>LOOKUP(B6,Soupiska!$A$3:$A$27,Soupiska!$B$3:$B$27)</f>
        <v>A</v>
      </c>
      <c r="D6" s="367">
        <f>LOOKUP(B6,Treninky!$A$3:$A$27,Treninky!$AP$3:$AP$27)</f>
        <v>70</v>
      </c>
      <c r="E6" s="233">
        <f>LOOKUP(B6,Turnaje!$A$3:$A$27,Turnaje!$N$3:$N$27)</f>
        <v>36</v>
      </c>
      <c r="F6" s="12">
        <f>LOOKUP(B6,Mistráky!$A$3:$A$28,Mistráky!$AE$3:$AE$28)</f>
        <v>310</v>
      </c>
      <c r="G6" s="28">
        <f>LOOKUP(B6,'Český pohár'!$A$3:$A$27,'Český pohár'!$Q$3:$Q$27)</f>
        <v>53</v>
      </c>
      <c r="H6" s="28">
        <f>LOOKUP(B6,Anketa!$A$3:$A$28,Anketa!$R$3:$R$28)</f>
        <v>13</v>
      </c>
      <c r="I6" s="31">
        <f t="shared" si="0"/>
        <v>482</v>
      </c>
      <c r="J6">
        <f t="shared" si="1"/>
        <v>363</v>
      </c>
    </row>
    <row r="7" spans="1:10">
      <c r="A7" s="162" t="s">
        <v>5</v>
      </c>
      <c r="B7" s="13" t="s">
        <v>43</v>
      </c>
      <c r="C7" s="25" t="str">
        <f>LOOKUP(B7,Soupiska!$A$3:$A$27,Soupiska!$B$3:$B$27)</f>
        <v>B</v>
      </c>
      <c r="D7" s="12">
        <f>LOOKUP(B7,Treninky!$A$3:$A$27,Treninky!$AP$3:$AP$27)</f>
        <v>31</v>
      </c>
      <c r="E7" s="12">
        <f>LOOKUP(B7,Turnaje!$A$3:$A$27,Turnaje!$N$3:$N$27)</f>
        <v>25</v>
      </c>
      <c r="F7" s="12">
        <f>LOOKUP(B7,Mistráky!$A$3:$A$28,Mistráky!$AE$3:$AE$28)</f>
        <v>371</v>
      </c>
      <c r="G7" s="28">
        <f>LOOKUP(B7,'Český pohár'!$A$3:$A$27,'Český pohár'!$Q$3:$Q$27)</f>
        <v>20</v>
      </c>
      <c r="H7" s="28">
        <f>LOOKUP(B7,Anketa!$A$3:$A$28,Anketa!$R$3:$R$28)</f>
        <v>9</v>
      </c>
      <c r="I7" s="31">
        <f t="shared" si="0"/>
        <v>456</v>
      </c>
      <c r="J7">
        <f t="shared" si="1"/>
        <v>391</v>
      </c>
    </row>
    <row r="8" spans="1:10">
      <c r="A8" s="162" t="s">
        <v>6</v>
      </c>
      <c r="B8" s="13" t="s">
        <v>95</v>
      </c>
      <c r="C8" s="25" t="str">
        <f>LOOKUP(B8,Soupiska!$A$3:$A$27,Soupiska!$B$3:$B$27)</f>
        <v>B</v>
      </c>
      <c r="D8" s="12">
        <f>LOOKUP(B8,Treninky!$A$3:$A$27,Treninky!$AP$3:$AP$27)</f>
        <v>31</v>
      </c>
      <c r="E8" s="12">
        <f>LOOKUP(B8,Turnaje!$A$3:$A$27,Turnaje!$N$3:$N$27)</f>
        <v>16</v>
      </c>
      <c r="F8" s="12">
        <f>LOOKUP(B8,Mistráky!$A$3:$A$28,Mistráky!$AE$3:$AE$28)</f>
        <v>292</v>
      </c>
      <c r="G8" s="28">
        <f>LOOKUP(B8,'Český pohár'!$A$3:$A$27,'Český pohár'!$Q$3:$Q$27)</f>
        <v>52</v>
      </c>
      <c r="H8" s="28">
        <f>LOOKUP(B8,Anketa!$A$3:$A$28,Anketa!$R$3:$R$28)</f>
        <v>34</v>
      </c>
      <c r="I8" s="31">
        <f t="shared" si="0"/>
        <v>425</v>
      </c>
      <c r="J8">
        <f t="shared" si="1"/>
        <v>344</v>
      </c>
    </row>
    <row r="9" spans="1:10">
      <c r="A9" s="162" t="s">
        <v>7</v>
      </c>
      <c r="B9" s="13" t="s">
        <v>53</v>
      </c>
      <c r="C9" s="25" t="str">
        <f>LOOKUP(B9,Soupiska!$A$3:$A$27,Soupiska!$B$3:$B$27)</f>
        <v>A</v>
      </c>
      <c r="D9" s="12">
        <f>LOOKUP(B9,Treninky!$A$3:$A$27,Treninky!$AP$3:$AP$27)</f>
        <v>0</v>
      </c>
      <c r="E9" s="12">
        <f>LOOKUP(B9,Turnaje!$A$3:$A$27,Turnaje!$N$3:$N$27)</f>
        <v>51</v>
      </c>
      <c r="F9" s="12">
        <f>LOOKUP(B9,Mistráky!$A$3:$A$28,Mistráky!$AE$3:$AE$28)</f>
        <v>260</v>
      </c>
      <c r="G9" s="28">
        <f>LOOKUP(B9,'Český pohár'!$A$3:$A$27,'Český pohár'!$Q$3:$Q$27)</f>
        <v>42</v>
      </c>
      <c r="H9" s="28">
        <f>LOOKUP(B9,Anketa!$A$3:$A$28,Anketa!$R$3:$R$28)</f>
        <v>22</v>
      </c>
      <c r="I9" s="31">
        <f t="shared" si="0"/>
        <v>375</v>
      </c>
      <c r="J9">
        <f t="shared" si="1"/>
        <v>302</v>
      </c>
    </row>
    <row r="10" spans="1:10">
      <c r="A10" s="162" t="s">
        <v>8</v>
      </c>
      <c r="B10" s="13" t="s">
        <v>39</v>
      </c>
      <c r="C10" s="25" t="str">
        <f>LOOKUP(B10,Soupiska!$A$3:$A$27,Soupiska!$B$3:$B$27)</f>
        <v>B</v>
      </c>
      <c r="D10" s="12">
        <f>LOOKUP(B10,Treninky!$A$3:$A$27,Treninky!$AP$3:$AP$27)</f>
        <v>20</v>
      </c>
      <c r="E10" s="12">
        <f>LOOKUP(B10,Turnaje!$A$3:$A$27,Turnaje!$N$3:$N$27)</f>
        <v>37</v>
      </c>
      <c r="F10" s="12">
        <f>LOOKUP(B10,Mistráky!$A$3:$A$28,Mistráky!$AE$3:$AE$28)</f>
        <v>249</v>
      </c>
      <c r="G10" s="28">
        <f>LOOKUP(B10,'Český pohár'!$A$3:$A$27,'Český pohár'!$Q$3:$Q$27)</f>
        <v>16</v>
      </c>
      <c r="H10" s="28">
        <f>LOOKUP(B10,Anketa!$A$3:$A$28,Anketa!$R$3:$R$28)</f>
        <v>27</v>
      </c>
      <c r="I10" s="31">
        <f t="shared" si="0"/>
        <v>349</v>
      </c>
      <c r="J10">
        <f t="shared" si="1"/>
        <v>265</v>
      </c>
    </row>
    <row r="11" spans="1:10">
      <c r="A11" s="162" t="s">
        <v>9</v>
      </c>
      <c r="B11" s="13" t="s">
        <v>46</v>
      </c>
      <c r="C11" s="25" t="str">
        <f>LOOKUP(B11,Soupiska!$A$3:$A$27,Soupiska!$B$3:$B$27)</f>
        <v>C</v>
      </c>
      <c r="D11" s="12">
        <f>LOOKUP(B11,Treninky!$A$3:$A$27,Treninky!$AP$3:$AP$27)</f>
        <v>35</v>
      </c>
      <c r="E11" s="12">
        <f>LOOKUP(B11,Turnaje!$A$3:$A$27,Turnaje!$N$3:$N$27)</f>
        <v>6</v>
      </c>
      <c r="F11" s="12">
        <f>LOOKUP(B11,Mistráky!$A$3:$A$28,Mistráky!$AE$3:$AE$28)</f>
        <v>280</v>
      </c>
      <c r="G11" s="28">
        <f>LOOKUP(B11,'Český pohár'!$A$3:$A$27,'Český pohár'!$Q$3:$Q$27)</f>
        <v>0</v>
      </c>
      <c r="H11" s="28">
        <f>LOOKUP(B11,Anketa!$A$3:$A$28,Anketa!$R$3:$R$28)</f>
        <v>2</v>
      </c>
      <c r="I11" s="31">
        <f t="shared" si="0"/>
        <v>323</v>
      </c>
      <c r="J11">
        <f t="shared" si="1"/>
        <v>280</v>
      </c>
    </row>
    <row r="12" spans="1:10">
      <c r="A12" s="234" t="s">
        <v>10</v>
      </c>
      <c r="B12" s="13" t="s">
        <v>124</v>
      </c>
      <c r="C12" s="25" t="str">
        <f>LOOKUP(B12,Soupiska!$A$3:$A$27,Soupiska!$B$3:$B$27)</f>
        <v>B</v>
      </c>
      <c r="D12" s="12">
        <f>LOOKUP(B12,Treninky!$A$3:$A$27,Treninky!$AP$3:$AP$27)</f>
        <v>3</v>
      </c>
      <c r="E12" s="12">
        <f>LOOKUP(B12,Turnaje!$A$3:$A$27,Turnaje!$N$3:$N$27)</f>
        <v>0</v>
      </c>
      <c r="F12" s="12">
        <f>LOOKUP(B12,Mistráky!$A$3:$A$28,Mistráky!$AE$3:$AE$28)</f>
        <v>274</v>
      </c>
      <c r="G12" s="28">
        <f>LOOKUP(B12,'Český pohár'!$A$3:$A$27,'Český pohár'!$Q$3:$Q$27)</f>
        <v>0</v>
      </c>
      <c r="H12" s="28">
        <f>LOOKUP(B12,Anketa!$A$3:$A$28,Anketa!$R$3:$R$28)</f>
        <v>0</v>
      </c>
      <c r="I12" s="31">
        <f t="shared" si="0"/>
        <v>277</v>
      </c>
      <c r="J12">
        <f t="shared" si="1"/>
        <v>274</v>
      </c>
    </row>
    <row r="13" spans="1:10">
      <c r="A13" s="234" t="s">
        <v>11</v>
      </c>
      <c r="B13" s="13" t="s">
        <v>41</v>
      </c>
      <c r="C13" s="25" t="str">
        <f>LOOKUP(B13,Soupiska!$A$3:$A$27,Soupiska!$B$3:$B$27)</f>
        <v>D</v>
      </c>
      <c r="D13" s="12">
        <f>LOOKUP(B13,Treninky!$A$3:$A$27,Treninky!$AP$3:$AP$27)</f>
        <v>18</v>
      </c>
      <c r="E13" s="12">
        <f>LOOKUP(B13,Turnaje!$A$3:$A$27,Turnaje!$N$3:$N$27)</f>
        <v>5</v>
      </c>
      <c r="F13" s="12">
        <f>LOOKUP(B13,Mistráky!$A$3:$A$28,Mistráky!$AE$3:$AE$28)</f>
        <v>254</v>
      </c>
      <c r="G13" s="28">
        <f>LOOKUP(B13,'Český pohár'!$A$3:$A$27,'Český pohár'!$Q$3:$Q$27)</f>
        <v>0</v>
      </c>
      <c r="H13" s="28">
        <f>LOOKUP(B13,Anketa!$A$3:$A$28,Anketa!$R$3:$R$28)</f>
        <v>0</v>
      </c>
      <c r="I13" s="31">
        <f t="shared" si="0"/>
        <v>277</v>
      </c>
      <c r="J13">
        <f t="shared" si="1"/>
        <v>254</v>
      </c>
    </row>
    <row r="14" spans="1:10">
      <c r="A14" s="234" t="s">
        <v>12</v>
      </c>
      <c r="B14" s="13" t="s">
        <v>55</v>
      </c>
      <c r="C14" s="25" t="str">
        <f>LOOKUP(B14,Soupiska!$A$3:$A$27,Soupiska!$B$3:$B$27)</f>
        <v>D</v>
      </c>
      <c r="D14" s="12">
        <f>LOOKUP(B14,Treninky!$A$3:$A$27,Treninky!$AP$3:$AP$27)</f>
        <v>0</v>
      </c>
      <c r="E14" s="12">
        <f>LOOKUP(B14,Turnaje!$A$3:$A$27,Turnaje!$N$3:$N$27)</f>
        <v>0</v>
      </c>
      <c r="F14" s="12">
        <f>LOOKUP(B14,Mistráky!$A$3:$A$28,Mistráky!$AE$3:$AE$28)</f>
        <v>222</v>
      </c>
      <c r="G14" s="28">
        <f>LOOKUP(B14,'Český pohár'!$A$3:$A$27,'Český pohár'!$Q$3:$Q$27)</f>
        <v>0</v>
      </c>
      <c r="H14" s="28">
        <f>LOOKUP(B14,Anketa!$A$3:$A$28,Anketa!$R$3:$R$28)</f>
        <v>23</v>
      </c>
      <c r="I14" s="31">
        <f t="shared" si="0"/>
        <v>245</v>
      </c>
      <c r="J14">
        <f t="shared" si="1"/>
        <v>222</v>
      </c>
    </row>
    <row r="15" spans="1:10">
      <c r="A15" s="234" t="s">
        <v>13</v>
      </c>
      <c r="B15" s="13" t="s">
        <v>51</v>
      </c>
      <c r="C15" s="25" t="str">
        <f>LOOKUP(B15,Soupiska!$A$3:$A$27,Soupiska!$B$3:$B$27)</f>
        <v>D</v>
      </c>
      <c r="D15" s="12">
        <f>LOOKUP(B15,Treninky!$A$3:$A$27,Treninky!$AP$3:$AP$27)</f>
        <v>0</v>
      </c>
      <c r="E15" s="12">
        <f>LOOKUP(B15,Turnaje!$A$3:$A$27,Turnaje!$N$3:$N$27)</f>
        <v>0</v>
      </c>
      <c r="F15" s="12">
        <f>LOOKUP(B15,Mistráky!$A$3:$A$28,Mistráky!$AE$3:$AE$28)</f>
        <v>240</v>
      </c>
      <c r="G15" s="28">
        <f>LOOKUP(B15,'Český pohár'!$A$3:$A$27,'Český pohár'!$Q$3:$Q$27)</f>
        <v>0</v>
      </c>
      <c r="H15" s="28">
        <f>LOOKUP(B15,Anketa!$A$3:$A$28,Anketa!$R$3:$R$28)</f>
        <v>1</v>
      </c>
      <c r="I15" s="31">
        <f t="shared" si="0"/>
        <v>241</v>
      </c>
      <c r="J15">
        <f t="shared" si="1"/>
        <v>240</v>
      </c>
    </row>
    <row r="16" spans="1:10">
      <c r="A16" s="58" t="s">
        <v>14</v>
      </c>
      <c r="B16" s="13" t="s">
        <v>57</v>
      </c>
      <c r="C16" s="25" t="str">
        <f>LOOKUP(B16,Soupiska!$A$3:$A$27,Soupiska!$B$3:$B$27)</f>
        <v>A</v>
      </c>
      <c r="D16" s="12">
        <f>LOOKUP(B16,Treninky!$A$3:$A$27,Treninky!$AP$3:$AP$27)</f>
        <v>0</v>
      </c>
      <c r="E16" s="12">
        <f>LOOKUP(B16,Turnaje!$A$3:$A$27,Turnaje!$N$3:$N$27)</f>
        <v>6</v>
      </c>
      <c r="F16" s="12">
        <f>LOOKUP(B16,Mistráky!$A$3:$A$28,Mistráky!$AE$3:$AE$28)</f>
        <v>164</v>
      </c>
      <c r="G16" s="28">
        <f>LOOKUP(B16,'Český pohár'!$A$3:$A$27,'Český pohár'!$Q$3:$Q$27)</f>
        <v>29</v>
      </c>
      <c r="H16" s="28">
        <f>LOOKUP(B16,Anketa!$A$3:$A$28,Anketa!$R$3:$R$28)</f>
        <v>7</v>
      </c>
      <c r="I16" s="31">
        <f t="shared" si="0"/>
        <v>206</v>
      </c>
      <c r="J16">
        <f t="shared" ref="J16" si="2">SUM(F16:G16)</f>
        <v>193</v>
      </c>
    </row>
    <row r="17" spans="1:10">
      <c r="A17" s="58" t="s">
        <v>15</v>
      </c>
      <c r="B17" s="13" t="s">
        <v>59</v>
      </c>
      <c r="C17" s="25" t="str">
        <f>LOOKUP(B17,Soupiska!$A$3:$A$27,Soupiska!$B$3:$B$27)</f>
        <v>D</v>
      </c>
      <c r="D17" s="12">
        <f>LOOKUP(B17,Treninky!$A$3:$A$27,Treninky!$AP$3:$AP$27)</f>
        <v>0</v>
      </c>
      <c r="E17" s="12">
        <f>LOOKUP(B17,Turnaje!$A$3:$A$27,Turnaje!$N$3:$N$27)</f>
        <v>0</v>
      </c>
      <c r="F17" s="12">
        <f>LOOKUP(B17,Mistráky!$A$3:$A$28,Mistráky!$AE$3:$AE$28)</f>
        <v>186</v>
      </c>
      <c r="G17" s="28">
        <f>LOOKUP(B17,'Český pohár'!$A$3:$A$27,'Český pohár'!$Q$3:$Q$27)</f>
        <v>0</v>
      </c>
      <c r="H17" s="28">
        <f>LOOKUP(B17,Anketa!$A$3:$A$28,Anketa!$R$3:$R$28)</f>
        <v>11</v>
      </c>
      <c r="I17" s="31">
        <f t="shared" si="0"/>
        <v>197</v>
      </c>
      <c r="J17">
        <f t="shared" si="1"/>
        <v>186</v>
      </c>
    </row>
    <row r="18" spans="1:10">
      <c r="A18" s="235" t="s">
        <v>16</v>
      </c>
      <c r="B18" s="13" t="s">
        <v>52</v>
      </c>
      <c r="C18" s="25" t="str">
        <f>LOOKUP(B18,Soupiska!$A$3:$A$27,Soupiska!$B$3:$B$27)</f>
        <v>C</v>
      </c>
      <c r="D18" s="12">
        <f>LOOKUP(B18,Treninky!$A$3:$A$27,Treninky!$AP$3:$AP$27)</f>
        <v>12</v>
      </c>
      <c r="E18" s="12">
        <f>LOOKUP(B18,Turnaje!$A$3:$A$27,Turnaje!$N$3:$N$27)</f>
        <v>11</v>
      </c>
      <c r="F18" s="12">
        <f>LOOKUP(B18,Mistráky!$A$3:$A$28,Mistráky!$AE$3:$AE$28)</f>
        <v>167</v>
      </c>
      <c r="G18" s="28">
        <f>LOOKUP(B18,'Český pohár'!$A$3:$A$27,'Český pohár'!$Q$3:$Q$27)</f>
        <v>0</v>
      </c>
      <c r="H18" s="28">
        <f>LOOKUP(B18,Anketa!$A$3:$A$28,Anketa!$R$3:$R$28)</f>
        <v>4</v>
      </c>
      <c r="I18" s="31">
        <f t="shared" si="0"/>
        <v>194</v>
      </c>
      <c r="J18">
        <f t="shared" si="1"/>
        <v>167</v>
      </c>
    </row>
    <row r="19" spans="1:10">
      <c r="A19" s="239" t="s">
        <v>17</v>
      </c>
      <c r="B19" s="13" t="s">
        <v>122</v>
      </c>
      <c r="C19" s="25" t="str">
        <f>LOOKUP(B19,Soupiska!$A$3:$A$27,Soupiska!$B$3:$B$27)</f>
        <v>D</v>
      </c>
      <c r="D19" s="12">
        <f>LOOKUP(B19,Treninky!$A$3:$A$27,Treninky!$AP$3:$AP$27)</f>
        <v>0</v>
      </c>
      <c r="E19" s="12">
        <f>LOOKUP(B19,Turnaje!$A$3:$A$27,Turnaje!$N$3:$N$27)</f>
        <v>0</v>
      </c>
      <c r="F19" s="12">
        <f>LOOKUP(B19,Mistráky!$A$3:$A$28,Mistráky!$AE$3:$AE$28)</f>
        <v>76</v>
      </c>
      <c r="G19" s="28">
        <f>LOOKUP(B19,'Český pohár'!$A$3:$A$27,'Český pohár'!$Q$3:$Q$27)</f>
        <v>0</v>
      </c>
      <c r="H19" s="28">
        <f>LOOKUP(B19,Anketa!$A$3:$A$28,Anketa!$R$3:$R$28)</f>
        <v>4</v>
      </c>
      <c r="I19" s="31">
        <f t="shared" si="0"/>
        <v>80</v>
      </c>
      <c r="J19">
        <f t="shared" si="1"/>
        <v>76</v>
      </c>
    </row>
    <row r="20" spans="1:10">
      <c r="A20" s="239" t="s">
        <v>18</v>
      </c>
      <c r="B20" s="13" t="s">
        <v>161</v>
      </c>
      <c r="C20" s="25" t="s">
        <v>99</v>
      </c>
      <c r="D20" s="12">
        <f>LOOKUP(B20,Treninky!$A$3:$A$27,Treninky!$AP$3:$AP$27)</f>
        <v>0</v>
      </c>
      <c r="E20" s="12">
        <f>LOOKUP(B20,Turnaje!$A$3:$A$27,Turnaje!$N$3:$N$27)</f>
        <v>6</v>
      </c>
      <c r="F20" s="12">
        <f>LOOKUP(B20,Mistráky!$A$3:$A$28,Mistráky!$AE$3:$AE$28)</f>
        <v>34</v>
      </c>
      <c r="G20" s="28">
        <v>0</v>
      </c>
      <c r="H20" s="28">
        <f>LOOKUP(B20,Anketa!$A$3:$A$28,Anketa!$R$3:$R$28)</f>
        <v>0</v>
      </c>
      <c r="I20" s="31">
        <f t="shared" si="0"/>
        <v>40</v>
      </c>
      <c r="J20">
        <f t="shared" si="1"/>
        <v>34</v>
      </c>
    </row>
    <row r="21" spans="1:10">
      <c r="A21" s="239" t="s">
        <v>19</v>
      </c>
      <c r="B21" s="13" t="s">
        <v>58</v>
      </c>
      <c r="C21" s="25" t="str">
        <f>LOOKUP(B21,Soupiska!$A$3:$A$27,Soupiska!$B$3:$B$27)</f>
        <v>D</v>
      </c>
      <c r="D21" s="12">
        <f>LOOKUP(B21,Treninky!$A$3:$A$27,Treninky!$AP$3:$AP$27)</f>
        <v>0</v>
      </c>
      <c r="E21" s="12">
        <f>LOOKUP(B21,Turnaje!$A$3:$A$27,Turnaje!$N$3:$N$27)</f>
        <v>0</v>
      </c>
      <c r="F21" s="12">
        <f>LOOKUP(B21,Mistráky!$A$3:$A$28,Mistráky!$AE$3:$AE$28)</f>
        <v>38</v>
      </c>
      <c r="G21" s="28">
        <f>LOOKUP(B21,'Český pohár'!$A$3:$A$27,'Český pohár'!$Q$3:$Q$27)</f>
        <v>0</v>
      </c>
      <c r="H21" s="28">
        <f>LOOKUP(B21,Anketa!$A$3:$A$28,Anketa!$R$3:$R$28)</f>
        <v>0</v>
      </c>
      <c r="I21" s="31">
        <f t="shared" si="0"/>
        <v>38</v>
      </c>
      <c r="J21">
        <f t="shared" si="1"/>
        <v>38</v>
      </c>
    </row>
    <row r="22" spans="1:10">
      <c r="A22" s="239" t="s">
        <v>20</v>
      </c>
      <c r="B22" s="13" t="s">
        <v>49</v>
      </c>
      <c r="C22" s="25" t="str">
        <f>LOOKUP(B22,Soupiska!$A$3:$A$27,Soupiska!$B$3:$B$27)</f>
        <v>D</v>
      </c>
      <c r="D22" s="12">
        <f>LOOKUP(B22,Treninky!$A$3:$A$27,Treninky!$AP$3:$AP$27)</f>
        <v>18</v>
      </c>
      <c r="E22" s="12">
        <f>LOOKUP(B22,Turnaje!$A$3:$A$27,Turnaje!$N$3:$N$27)</f>
        <v>0</v>
      </c>
      <c r="F22" s="12">
        <f>LOOKUP(B22,Mistráky!$A$3:$A$28,Mistráky!$AE$3:$AE$28)</f>
        <v>0</v>
      </c>
      <c r="G22" s="28">
        <f>LOOKUP(B22,'Český pohár'!$A$3:$A$27,'Český pohár'!$Q$3:$Q$27)</f>
        <v>0</v>
      </c>
      <c r="H22" s="28">
        <f>LOOKUP(B22,Anketa!$A$3:$A$28,Anketa!$R$3:$R$28)</f>
        <v>0</v>
      </c>
      <c r="I22" s="31">
        <f t="shared" si="0"/>
        <v>18</v>
      </c>
      <c r="J22">
        <f t="shared" si="1"/>
        <v>0</v>
      </c>
    </row>
    <row r="23" spans="1:10">
      <c r="A23" s="163" t="s">
        <v>21</v>
      </c>
      <c r="B23" s="13" t="s">
        <v>48</v>
      </c>
      <c r="C23" s="25" t="str">
        <f>LOOKUP(B23,Soupiska!$A$3:$A$27,Soupiska!$B$3:$B$27)</f>
        <v>A</v>
      </c>
      <c r="D23" s="12">
        <f>LOOKUP(B23,Treninky!$A$3:$A$27,Treninky!$AP$3:$AP$27)</f>
        <v>3</v>
      </c>
      <c r="E23" s="12">
        <f>LOOKUP(B23,Turnaje!$A$3:$A$27,Turnaje!$N$3:$N$27)</f>
        <v>6</v>
      </c>
      <c r="F23" s="12">
        <f>LOOKUP(B23,Mistráky!$A$3:$A$28,Mistráky!$AE$3:$AE$28)</f>
        <v>0</v>
      </c>
      <c r="G23" s="28">
        <f>LOOKUP(B23,'Český pohár'!$A$3:$A$27,'Český pohár'!$Q$3:$Q$27)</f>
        <v>0</v>
      </c>
      <c r="H23" s="28">
        <f>LOOKUP(B23,Anketa!$A$3:$A$28,Anketa!$R$3:$R$28)</f>
        <v>0</v>
      </c>
      <c r="I23" s="31">
        <f t="shared" si="0"/>
        <v>9</v>
      </c>
      <c r="J23">
        <f t="shared" si="1"/>
        <v>0</v>
      </c>
    </row>
    <row r="24" spans="1:10">
      <c r="A24" s="163" t="s">
        <v>22</v>
      </c>
      <c r="B24" s="13" t="s">
        <v>50</v>
      </c>
      <c r="C24" s="25" t="str">
        <f>LOOKUP(B24,Soupiska!$A$3:$A$27,Soupiska!$B$3:$B$27)</f>
        <v>D</v>
      </c>
      <c r="D24" s="12">
        <f>LOOKUP(B24,Treninky!$A$3:$A$27,Treninky!$AP$3:$AP$27)</f>
        <v>2</v>
      </c>
      <c r="E24" s="12">
        <f>LOOKUP(B24,Turnaje!$A$3:$A$27,Turnaje!$N$3:$N$27)</f>
        <v>0</v>
      </c>
      <c r="F24" s="12">
        <f>LOOKUP(B24,Mistráky!$A$3:$A$28,Mistráky!$AE$3:$AE$28)</f>
        <v>0</v>
      </c>
      <c r="G24" s="28">
        <f>LOOKUP(B24,'Český pohár'!$A$3:$A$27,'Český pohár'!$Q$3:$Q$27)</f>
        <v>0</v>
      </c>
      <c r="H24" s="28">
        <f>LOOKUP(B24,Anketa!$A$3:$A$28,Anketa!$R$3:$R$28)</f>
        <v>0</v>
      </c>
      <c r="I24" s="31">
        <f t="shared" si="0"/>
        <v>2</v>
      </c>
      <c r="J24">
        <f t="shared" si="1"/>
        <v>0</v>
      </c>
    </row>
    <row r="25" spans="1:10">
      <c r="A25" s="163" t="s">
        <v>23</v>
      </c>
      <c r="B25" s="13" t="s">
        <v>40</v>
      </c>
      <c r="C25" s="25" t="str">
        <f>LOOKUP(B25,Soupiska!$A$3:$A$27,Soupiska!$B$3:$B$27)</f>
        <v>D</v>
      </c>
      <c r="D25" s="12">
        <f>LOOKUP(B25,Treninky!$A$3:$A$27,Treninky!$AP$3:$AP$27)</f>
        <v>2</v>
      </c>
      <c r="E25" s="12">
        <f>LOOKUP(B25,Turnaje!$A$3:$A$27,Turnaje!$N$3:$N$27)</f>
        <v>0</v>
      </c>
      <c r="F25" s="12">
        <f>LOOKUP(B25,Mistráky!$A$3:$A$28,Mistráky!$AE$3:$AE$28)</f>
        <v>0</v>
      </c>
      <c r="G25" s="28">
        <f>LOOKUP(B25,'Český pohár'!$A$3:$A$27,'Český pohár'!$Q$3:$Q$27)</f>
        <v>0</v>
      </c>
      <c r="H25" s="28">
        <f>LOOKUP(B25,Anketa!$A$3:$A$28,Anketa!$R$3:$R$28)</f>
        <v>0</v>
      </c>
      <c r="I25" s="31">
        <f t="shared" si="0"/>
        <v>2</v>
      </c>
      <c r="J25">
        <f t="shared" si="1"/>
        <v>0</v>
      </c>
    </row>
    <row r="26" spans="1:10">
      <c r="A26" s="238" t="s">
        <v>24</v>
      </c>
      <c r="B26" s="13" t="s">
        <v>54</v>
      </c>
      <c r="C26" s="25" t="str">
        <f>LOOKUP(B26,Soupiska!$A$3:$A$27,Soupiska!$B$3:$B$27)</f>
        <v>D</v>
      </c>
      <c r="D26" s="12">
        <f>LOOKUP(B26,Treninky!$A$3:$A$27,Treninky!$AP$3:$AP$27)</f>
        <v>0</v>
      </c>
      <c r="E26" s="12">
        <f>LOOKUP(B26,Turnaje!$A$3:$A$27,Turnaje!$N$3:$N$27)</f>
        <v>0</v>
      </c>
      <c r="F26" s="12">
        <f>LOOKUP(B26,Mistráky!$A$3:$A$28,Mistráky!$AE$3:$AE$28)</f>
        <v>0</v>
      </c>
      <c r="G26" s="28">
        <f>LOOKUP(B26,'Český pohár'!$A$3:$A$27,'Český pohár'!$Q$3:$Q$27)</f>
        <v>0</v>
      </c>
      <c r="H26" s="28">
        <f>LOOKUP(B26,Anketa!$A$3:$A$28,Anketa!$R$3:$R$28)</f>
        <v>0</v>
      </c>
      <c r="I26" s="31">
        <f t="shared" si="0"/>
        <v>0</v>
      </c>
      <c r="J26">
        <f t="shared" si="1"/>
        <v>0</v>
      </c>
    </row>
    <row r="27" spans="1:10">
      <c r="A27" s="238" t="s">
        <v>25</v>
      </c>
      <c r="B27" s="13" t="s">
        <v>38</v>
      </c>
      <c r="C27" s="25" t="str">
        <f>LOOKUP(B27,Soupiska!$A$3:$A$27,Soupiska!$B$3:$B$27)</f>
        <v>D</v>
      </c>
      <c r="D27" s="12">
        <f>LOOKUP(B27,Treninky!$A$3:$A$27,Treninky!$AP$3:$AP$27)</f>
        <v>0</v>
      </c>
      <c r="E27" s="12">
        <f>LOOKUP(B27,Turnaje!$A$3:$A$27,Turnaje!$N$3:$N$27)</f>
        <v>0</v>
      </c>
      <c r="F27" s="12">
        <f>LOOKUP(B27,Mistráky!$A$3:$A$28,Mistráky!$AE$3:$AE$28)</f>
        <v>0</v>
      </c>
      <c r="G27" s="28">
        <f>LOOKUP(B27,'Český pohár'!$A$3:$A$27,'Český pohár'!$Q$3:$Q$27)</f>
        <v>0</v>
      </c>
      <c r="H27" s="28">
        <f>LOOKUP(B27,Anketa!$A$3:$A$28,Anketa!$R$3:$R$28)</f>
        <v>0</v>
      </c>
      <c r="I27" s="31">
        <f t="shared" si="0"/>
        <v>0</v>
      </c>
      <c r="J27">
        <f t="shared" si="1"/>
        <v>0</v>
      </c>
    </row>
    <row r="28" spans="1:10" ht="15.75" thickBot="1">
      <c r="D28">
        <f t="shared" ref="D28:I28" si="3">SUM(D3:D27)</f>
        <v>401</v>
      </c>
      <c r="E28">
        <f t="shared" si="3"/>
        <v>271</v>
      </c>
      <c r="F28">
        <f t="shared" si="3"/>
        <v>5167</v>
      </c>
      <c r="G28">
        <f t="shared" si="3"/>
        <v>255</v>
      </c>
      <c r="H28">
        <f t="shared" si="3"/>
        <v>176</v>
      </c>
      <c r="I28">
        <f t="shared" si="3"/>
        <v>6270</v>
      </c>
    </row>
    <row r="29" spans="1:10" ht="15.75" thickBot="1">
      <c r="A29" s="32" t="s">
        <v>72</v>
      </c>
      <c r="B29" s="33" t="s">
        <v>36</v>
      </c>
      <c r="C29" s="33" t="s">
        <v>96</v>
      </c>
      <c r="D29" s="33" t="s">
        <v>71</v>
      </c>
      <c r="E29" s="33" t="s">
        <v>68</v>
      </c>
      <c r="F29" s="33" t="s">
        <v>69</v>
      </c>
      <c r="G29" s="34" t="s">
        <v>94</v>
      </c>
      <c r="H29" s="34" t="s">
        <v>128</v>
      </c>
      <c r="I29" s="35" t="s">
        <v>61</v>
      </c>
    </row>
    <row r="30" spans="1:10">
      <c r="A30" s="166" t="s">
        <v>1</v>
      </c>
      <c r="B30" s="175" t="s">
        <v>132</v>
      </c>
      <c r="C30" s="167" t="s">
        <v>99</v>
      </c>
      <c r="D30" s="171">
        <f>SUMIF($C$2:$C$27,C30,$D$2:$D$27)-0.5*(INDEX($B$3:$H$27,MATCH("ŠKOPEK Pavel",$B$3:$B$27,0),3))-0.5*(INDEX($B$3:$H$27,MATCH("FIALA Leoš ml.",$B$3:$B$27,0),3))</f>
        <v>129.5</v>
      </c>
      <c r="E30" s="171">
        <f>SUMIF($C$2:$C$27,C30,$E$2:$E$27)-0.5*(INDEX($B$3:$H$27,MATCH("ŠKOPEK Pavel",$B$3:$B$27,0),4))-0.5*(INDEX($B$3:$H$27,MATCH("FIALA Leoš ml.",$B$3:$B$27,0),4))</f>
        <v>73.5</v>
      </c>
      <c r="F30" s="171">
        <f>SUM(Mistráky!AH51:AH67)</f>
        <v>1588</v>
      </c>
      <c r="G30" s="171">
        <f>SUMIF($C$2:$C$27,C30,$G$2:$G$27)-0.5*(INDEX($B$3:$H$27,MATCH("ŠKOPEK Pavel",$B$3:$B$27,0),6))-0.5*(INDEX($B$3:$H$27,MATCH("FIALA Leoš ml.",$B$3:$B$27,0),6))</f>
        <v>76</v>
      </c>
      <c r="H30" s="171">
        <f>SUMIF($C$2:$C$27,C30,$H$2:$H$27)-0.5*(INDEX($B$3:$H$27,MATCH("ŠKOPEK Pavel",$B$3:$B$27,0),7))-0.5*(INDEX($B$3:$H$27,MATCH("FIALA Leoš ml.",$B$3:$B$27,0),7))</f>
        <v>42.5</v>
      </c>
      <c r="I30" s="172">
        <f>CEILING(SUM(D30:H30),1)</f>
        <v>1910</v>
      </c>
    </row>
    <row r="31" spans="1:10">
      <c r="A31" s="168" t="s">
        <v>2</v>
      </c>
      <c r="B31" s="176" t="s">
        <v>133</v>
      </c>
      <c r="C31" s="169" t="s">
        <v>97</v>
      </c>
      <c r="D31" s="171">
        <f>SUMIF($C$2:$C$27,C31,$D$2:$D$27)</f>
        <v>133</v>
      </c>
      <c r="E31" s="171">
        <f>SUMIF($C$2:$C$27,C31,$E$2:$E$27)</f>
        <v>67</v>
      </c>
      <c r="F31" s="171">
        <f>SUM(Mistráky!AH75:AH87)</f>
        <v>1430</v>
      </c>
      <c r="G31" s="171">
        <f>SUMIF($C$2:$C$27,C31,$G$2:$G$27)</f>
        <v>21</v>
      </c>
      <c r="H31" s="171">
        <f>SUMIF($C$2:$C$27,C31,$H$2:$H$27)</f>
        <v>22</v>
      </c>
      <c r="I31" s="172">
        <f>CEILING(SUM(D31:H31),1)</f>
        <v>1673</v>
      </c>
    </row>
    <row r="32" spans="1:10">
      <c r="A32" s="178" t="s">
        <v>3</v>
      </c>
      <c r="B32" s="176" t="s">
        <v>131</v>
      </c>
      <c r="C32" s="169" t="s">
        <v>100</v>
      </c>
      <c r="D32" s="171">
        <f>SUMIF($C$2:$C$27,C32,$D$2:$D$27)+0.5*(INDEX($B$3:$H$27,MATCH("ŠKOPEK Pavel",$B$3:$B$27,0),3))+0.5*(INDEX($B$3:$H$27,MATCH("FIALA Leoš ml.",$B$3:$B$27,0),3))</f>
        <v>98.5</v>
      </c>
      <c r="E32" s="171">
        <f>SUMIF($C$2:$C$27,C32,$E$2:$E$27)+0.5*(INDEX($B$3:$H$27,MATCH("ŠKOPEK Pavel",$B$3:$B$27,0),4))+0.5*(INDEX($B$3:$H$27,MATCH("FIALA Leoš ml.",$B$3:$B$27,0),4))</f>
        <v>125.5</v>
      </c>
      <c r="F32" s="171">
        <f>SUM(Mistráky!AH32:AH43)</f>
        <v>1196</v>
      </c>
      <c r="G32" s="171">
        <f>SUMIF($C$2:$C$27,C32,$G$2:$G$27)+0.5*(INDEX($B$3:$H$27,MATCH("ŠKOPEK Pavel",$B$3:$B$27,0),6))+0.5*(INDEX($B$3:$H$27,MATCH("FIALA Leoš ml.",$B$3:$B$27,0),6))</f>
        <v>158</v>
      </c>
      <c r="H32" s="171">
        <f>SUMIF($C$2:$C$27,C32,$H$2:$H$27)+0.5*(INDEX($B$3:$H$27,MATCH("ŠKOPEK Pavel",$B$3:$B$27,0),7))+0.5*(INDEX($B$3:$H$27,MATCH("FIALA Leoš ml.",$B$3:$B$27,0),7))</f>
        <v>72.5</v>
      </c>
      <c r="I32" s="172">
        <f>CEILING(SUM(D32:H32),1)</f>
        <v>1651</v>
      </c>
    </row>
    <row r="33" spans="1:9" ht="15.75" thickBot="1">
      <c r="A33" s="179" t="s">
        <v>4</v>
      </c>
      <c r="B33" s="177" t="s">
        <v>134</v>
      </c>
      <c r="C33" s="170" t="s">
        <v>98</v>
      </c>
      <c r="D33" s="173">
        <f>SUMIF($C$2:$C$27,C33,$D$2:$D$27)</f>
        <v>40</v>
      </c>
      <c r="E33" s="173">
        <f>SUMIF($C$2:$C$27,C33,$E$2:$E$27)</f>
        <v>5</v>
      </c>
      <c r="F33" s="173">
        <f>SUM(Mistráky!AH95:AH107)</f>
        <v>953</v>
      </c>
      <c r="G33" s="173">
        <f>SUMIF($C$2:$C$27,C33,$G$2:$G$27)</f>
        <v>0</v>
      </c>
      <c r="H33" s="173">
        <f>SUMIF($C$2:$C$27,C33,$H$2:$H$27)</f>
        <v>39</v>
      </c>
      <c r="I33" s="174">
        <f>CEILING(SUM(D33:H33),1)</f>
        <v>1037</v>
      </c>
    </row>
    <row r="34" spans="1:9">
      <c r="D34" s="96">
        <f>SUM(D30:D33)</f>
        <v>401</v>
      </c>
      <c r="E34" s="96">
        <f t="shared" ref="E34:I34" si="4">SUM(E30:E33)</f>
        <v>271</v>
      </c>
      <c r="F34" s="96">
        <f t="shared" si="4"/>
        <v>5167</v>
      </c>
      <c r="G34" s="96">
        <f t="shared" si="4"/>
        <v>255</v>
      </c>
      <c r="H34" s="96">
        <f t="shared" si="4"/>
        <v>176</v>
      </c>
      <c r="I34" s="96">
        <f t="shared" si="4"/>
        <v>6271</v>
      </c>
    </row>
  </sheetData>
  <sortState ref="B3:I27">
    <sortCondition descending="1" ref="I3:I27"/>
  </sortState>
  <mergeCells count="1">
    <mergeCell ref="A1:I1"/>
  </mergeCells>
  <dataValidations count="1">
    <dataValidation showInputMessage="1" showErrorMessage="1" promptTitle="Upozornění !!!" sqref="B30:C33 B3:C27"/>
  </dataValidation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A4" sqref="A4"/>
    </sheetView>
  </sheetViews>
  <sheetFormatPr defaultRowHeight="15"/>
  <sheetData>
    <row r="1" spans="1:5" ht="15.75" thickBot="1">
      <c r="A1" s="333" t="s">
        <v>158</v>
      </c>
      <c r="B1" s="333"/>
      <c r="C1" s="333"/>
      <c r="D1" s="333"/>
      <c r="E1" s="333"/>
    </row>
    <row r="2" spans="1:5" ht="15.75" thickBot="1">
      <c r="A2" s="33" t="s">
        <v>71</v>
      </c>
      <c r="B2" s="33" t="s">
        <v>68</v>
      </c>
      <c r="C2" s="33" t="s">
        <v>69</v>
      </c>
      <c r="D2" s="34" t="s">
        <v>94</v>
      </c>
      <c r="E2" s="34" t="s">
        <v>128</v>
      </c>
    </row>
    <row r="3" spans="1:5">
      <c r="A3" s="26">
        <v>70</v>
      </c>
      <c r="B3" s="26">
        <v>110</v>
      </c>
      <c r="C3" s="26" t="s">
        <v>135</v>
      </c>
      <c r="D3" s="27" t="s">
        <v>135</v>
      </c>
      <c r="E3" s="27">
        <v>50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Bodování</vt:lpstr>
      <vt:lpstr>Soupiska</vt:lpstr>
      <vt:lpstr>Treninky</vt:lpstr>
      <vt:lpstr>Turnaje</vt:lpstr>
      <vt:lpstr>Mistráky</vt:lpstr>
      <vt:lpstr>Český pohár</vt:lpstr>
      <vt:lpstr>Anketa</vt:lpstr>
      <vt:lpstr>Konečné pořadí</vt:lpstr>
      <vt:lpstr>Limity</vt:lpstr>
      <vt:lpstr>Mistráky staré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FH</cp:lastModifiedBy>
  <cp:lastPrinted>2012-05-13T20:25:38Z</cp:lastPrinted>
  <dcterms:created xsi:type="dcterms:W3CDTF">2010-07-30T16:28:23Z</dcterms:created>
  <dcterms:modified xsi:type="dcterms:W3CDTF">2012-06-09T10:48:15Z</dcterms:modified>
</cp:coreProperties>
</file>